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371" yWindow="65491" windowWidth="10440" windowHeight="8280" tabRatio="766" firstSheet="3" activeTab="9"/>
  </bookViews>
  <sheets>
    <sheet name="Receita Prefeitura" sheetId="1" r:id="rId1"/>
    <sheet name="RPPS" sheetId="2" r:id="rId2"/>
    <sheet name="Receita Saúde" sheetId="3" r:id="rId3"/>
    <sheet name="Receita Assistência Social" sheetId="4" r:id="rId4"/>
    <sheet name="Receita FUNDECA" sheetId="5" r:id="rId5"/>
    <sheet name=" Autarq. Educacional" sheetId="6" r:id="rId6"/>
    <sheet name="Saúde" sheetId="7" r:id="rId7"/>
    <sheet name="Educação" sheetId="8" r:id="rId8"/>
    <sheet name="Assistência" sheetId="9" r:id="rId9"/>
    <sheet name="Reserva de Contingencia" sheetId="10" r:id="rId10"/>
    <sheet name="Assistência (2)" sheetId="11" state="hidden" r:id="rId11"/>
  </sheets>
  <definedNames>
    <definedName name="_xlnm._FilterDatabase" localSheetId="0" hidden="1">'Receita Prefeitura'!$D$6:$F$500</definedName>
    <definedName name="_xlnm.Print_Area" localSheetId="5">' Autarq. Educacional'!$A$1:$F$84</definedName>
    <definedName name="_xlnm.Print_Area" localSheetId="8">'Assistência'!$A$1:$H$23</definedName>
    <definedName name="_xlnm.Print_Area" localSheetId="10">'Assistência (2)'!$A$1:$H$31</definedName>
    <definedName name="_xlnm.Print_Area" localSheetId="7">'Educação'!$A$1:$H$62</definedName>
    <definedName name="_xlnm.Print_Area" localSheetId="3">'Receita Assistência Social'!$A$1:$F$48</definedName>
    <definedName name="_xlnm.Print_Area" localSheetId="4">'Receita FUNDECA'!$A$1:$F$39</definedName>
    <definedName name="_xlnm.Print_Area" localSheetId="0">'Receita Prefeitura'!$A$1:$J$553</definedName>
    <definedName name="_xlnm.Print_Area" localSheetId="9">'Reserva de Contingencia'!$A$1:$G$22</definedName>
    <definedName name="_xlnm.Print_Area" localSheetId="1">'RPPS'!$A$1:$F$116</definedName>
    <definedName name="_xlnm.Print_Area" localSheetId="6">'Saúde'!$A$1:$H$43</definedName>
  </definedNames>
  <calcPr fullCalcOnLoad="1"/>
</workbook>
</file>

<file path=xl/comments1.xml><?xml version="1.0" encoding="utf-8"?>
<comments xmlns="http://schemas.openxmlformats.org/spreadsheetml/2006/main">
  <authors>
    <author>George Galv?o</author>
  </authors>
  <commentList>
    <comment ref="G492" authorId="0">
      <text>
        <r>
          <rPr>
            <b/>
            <sz val="9"/>
            <rFont val="Tahoma"/>
            <family val="2"/>
          </rPr>
          <t>Osman:</t>
        </r>
        <r>
          <rPr>
            <sz val="9"/>
            <rFont val="Tahoma"/>
            <family val="2"/>
          </rPr>
          <t xml:space="preserve"> 29.16 - 
Contribuição Patronal de Exercícios Anteriores
</t>
        </r>
      </text>
    </comment>
  </commentList>
</comments>
</file>

<file path=xl/comments8.xml><?xml version="1.0" encoding="utf-8"?>
<comments xmlns="http://schemas.openxmlformats.org/spreadsheetml/2006/main">
  <authors>
    <author>George Galv?o</author>
  </authors>
  <commentList>
    <comment ref="F49" authorId="0">
      <text>
        <r>
          <rPr>
            <sz val="9"/>
            <rFont val="Tahoma"/>
            <family val="2"/>
          </rPr>
          <t>Esta linha contem a soma de todas as subfunções selecionadas para ficarem de fora do limite constitucional.</t>
        </r>
      </text>
    </comment>
  </commentList>
</comments>
</file>

<file path=xl/sharedStrings.xml><?xml version="1.0" encoding="utf-8"?>
<sst xmlns="http://schemas.openxmlformats.org/spreadsheetml/2006/main" count="2537" uniqueCount="1047">
  <si>
    <t>1000.00.00.00</t>
  </si>
  <si>
    <t>1100.00.00.00</t>
  </si>
  <si>
    <t>1110.00.00.00</t>
  </si>
  <si>
    <t>1112.02.00.00</t>
  </si>
  <si>
    <t>1112.04.00.00</t>
  </si>
  <si>
    <t>1112.04.31.00</t>
  </si>
  <si>
    <t>1112.04.34.00</t>
  </si>
  <si>
    <t>1112.08.00.00</t>
  </si>
  <si>
    <t>1113.00.00.00</t>
  </si>
  <si>
    <t>1113.05.00.00</t>
  </si>
  <si>
    <t>1120.00.00.00</t>
  </si>
  <si>
    <t xml:space="preserve">1121.00.00.00 </t>
  </si>
  <si>
    <t xml:space="preserve">1121.17.00.00 </t>
  </si>
  <si>
    <t xml:space="preserve">1121.25.00.00 </t>
  </si>
  <si>
    <t>1121.26.00.00</t>
  </si>
  <si>
    <t>1121.27.00.00</t>
  </si>
  <si>
    <t xml:space="preserve">1121.29.00.00 </t>
  </si>
  <si>
    <t>1121.30.00.00</t>
  </si>
  <si>
    <t xml:space="preserve">1121.31.00.00 </t>
  </si>
  <si>
    <t xml:space="preserve">1121.32.00.00 </t>
  </si>
  <si>
    <t>1121.35.00.00</t>
  </si>
  <si>
    <t xml:space="preserve">1121.36.00.00 </t>
  </si>
  <si>
    <t xml:space="preserve">1121.99.00.00 </t>
  </si>
  <si>
    <t>TAXAS P/PRESTACAO DE SERVICOS</t>
  </si>
  <si>
    <t xml:space="preserve">1122.00.00.00 </t>
  </si>
  <si>
    <t>TAXAS DE SERVICOS CADASTRAIS</t>
  </si>
  <si>
    <t xml:space="preserve">1122.21.00.00 </t>
  </si>
  <si>
    <t>1122.28.00.00</t>
  </si>
  <si>
    <t>1122.90.00.00</t>
  </si>
  <si>
    <t>1122.99.00.00</t>
  </si>
  <si>
    <t>1130.00.00.00</t>
  </si>
  <si>
    <t xml:space="preserve">1130.01.00.00 </t>
  </si>
  <si>
    <t>1130.02.00.00</t>
  </si>
  <si>
    <t>1130.99.00.00</t>
  </si>
  <si>
    <t>1130.04.00.00</t>
  </si>
  <si>
    <t>1200.00.00.00</t>
  </si>
  <si>
    <t>1210.00.00.00</t>
  </si>
  <si>
    <t xml:space="preserve">1210.29.00.00 </t>
  </si>
  <si>
    <t>OUTRAS CONTRIBUICOES SOCIAIS</t>
  </si>
  <si>
    <t xml:space="preserve">1210.99.00.00 </t>
  </si>
  <si>
    <t>1220.00.00.00</t>
  </si>
  <si>
    <t xml:space="preserve">1220.29.00.00 </t>
  </si>
  <si>
    <t>RECEITA PATRIMONIAL</t>
  </si>
  <si>
    <t xml:space="preserve">1300.00.00.00 </t>
  </si>
  <si>
    <t>RECEITAS IMOBILIARIAS</t>
  </si>
  <si>
    <t xml:space="preserve">1310.00.00.00 </t>
  </si>
  <si>
    <t>ALUGUEIS</t>
  </si>
  <si>
    <t xml:space="preserve">1311.00.00.00 </t>
  </si>
  <si>
    <t>ARRENDAMENTOS</t>
  </si>
  <si>
    <t xml:space="preserve">1312.00.00.00 </t>
  </si>
  <si>
    <t>TAXA DE OCUPACAO DE IMOVEIS</t>
  </si>
  <si>
    <t xml:space="preserve">1315.00.00.00 </t>
  </si>
  <si>
    <t xml:space="preserve">1320.00.00.00 </t>
  </si>
  <si>
    <t>1321.00.00.00</t>
  </si>
  <si>
    <t>1321.99.00.00</t>
  </si>
  <si>
    <t>1322.00.00.00</t>
  </si>
  <si>
    <t>1325.00.00.00</t>
  </si>
  <si>
    <t>1325.01.00.00</t>
  </si>
  <si>
    <t>OUTRAS RECEITAS PATRIMONIAIS</t>
  </si>
  <si>
    <t>1329.00.00.00</t>
  </si>
  <si>
    <t>1400.00.00.00</t>
  </si>
  <si>
    <t>1490.00.00.00</t>
  </si>
  <si>
    <t>1500.00.00.00</t>
  </si>
  <si>
    <t xml:space="preserve">1520.00.00.00 </t>
  </si>
  <si>
    <t xml:space="preserve">1520.26.00.00 </t>
  </si>
  <si>
    <t>REC USINA DE TRATAM DE LIXO</t>
  </si>
  <si>
    <t xml:space="preserve">1520.28.00.00 </t>
  </si>
  <si>
    <t>1600.00.00.00</t>
  </si>
  <si>
    <t>1600.05.00.00</t>
  </si>
  <si>
    <t>1600.05.01.00</t>
  </si>
  <si>
    <t>OUTROS SERVICOS DE SAUDE</t>
  </si>
  <si>
    <t xml:space="preserve">1600.05.99.00 </t>
  </si>
  <si>
    <t>1600.13.00.00</t>
  </si>
  <si>
    <t>1600.13.01.00</t>
  </si>
  <si>
    <t>SERV DE VENDA DE EDITAIS</t>
  </si>
  <si>
    <t xml:space="preserve">1600.13.02.00 </t>
  </si>
  <si>
    <t xml:space="preserve">1600.13.04.00 </t>
  </si>
  <si>
    <t>1600.13.06.00</t>
  </si>
  <si>
    <t>1600.13.07.00</t>
  </si>
  <si>
    <t>OUTROS SERV ADMINISTRATIVOS</t>
  </si>
  <si>
    <t xml:space="preserve">1600.13.99.00 </t>
  </si>
  <si>
    <t>1600.16.00.00</t>
  </si>
  <si>
    <t>1600.17.00.00</t>
  </si>
  <si>
    <t>SERV RECREATIVOS E CULTURAIS</t>
  </si>
  <si>
    <t xml:space="preserve">1600.19.00.00 </t>
  </si>
  <si>
    <t xml:space="preserve">1600.21.00.00 </t>
  </si>
  <si>
    <t>SERV DE FORNECIMENTO DE AGUA</t>
  </si>
  <si>
    <t xml:space="preserve">1600.26.00.00 </t>
  </si>
  <si>
    <t xml:space="preserve">1600.29.00.00 </t>
  </si>
  <si>
    <t>1600.41.00.00</t>
  </si>
  <si>
    <t xml:space="preserve">1600.42.00.00 </t>
  </si>
  <si>
    <t>SERVICOS DE ABATE DE ANIMAIS</t>
  </si>
  <si>
    <t xml:space="preserve">1600.44.00.00 </t>
  </si>
  <si>
    <t>1600.45.00.00</t>
  </si>
  <si>
    <t>1600.46.00.00</t>
  </si>
  <si>
    <t>1600.48.00.00</t>
  </si>
  <si>
    <t>OUTROS SERVICOS</t>
  </si>
  <si>
    <t xml:space="preserve">1600.99.00.00 </t>
  </si>
  <si>
    <t>TRANSFERENCIAS CORRENTES</t>
  </si>
  <si>
    <t xml:space="preserve">1700.00.00.00 </t>
  </si>
  <si>
    <t xml:space="preserve">1720.00.00.00 </t>
  </si>
  <si>
    <t>TRANSFERENCIAS DA UNIAO</t>
  </si>
  <si>
    <t xml:space="preserve">1721.00.00.00 </t>
  </si>
  <si>
    <t>1721.01.00.00</t>
  </si>
  <si>
    <t>1721.22.00.00</t>
  </si>
  <si>
    <t>1721.22.70.00</t>
  </si>
  <si>
    <t>1721.22.90.00</t>
  </si>
  <si>
    <t>1721.33.00.00</t>
  </si>
  <si>
    <t>1721.33.20.00</t>
  </si>
  <si>
    <t>1721.35.00.00</t>
  </si>
  <si>
    <t>1721.35.01.00</t>
  </si>
  <si>
    <t>1721.35.02.00</t>
  </si>
  <si>
    <t>TRANSF DIRETA FNDE REF PNAE</t>
  </si>
  <si>
    <t xml:space="preserve">1721.35.03.00 </t>
  </si>
  <si>
    <t>1721.35.04.00</t>
  </si>
  <si>
    <t>1721.35.99.00</t>
  </si>
  <si>
    <t>TRANSFERENCIAS DOS ESTADOS</t>
  </si>
  <si>
    <t xml:space="preserve">1722.00.00.00 </t>
  </si>
  <si>
    <t>1722.01.00.00</t>
  </si>
  <si>
    <t>COTA-PARTE DO ICMS</t>
  </si>
  <si>
    <t xml:space="preserve">1722.01.01.00 </t>
  </si>
  <si>
    <t>1722.22.00.00</t>
  </si>
  <si>
    <t>1724.00.00.00</t>
  </si>
  <si>
    <t>1760.00.00.00</t>
  </si>
  <si>
    <t>1761.00.00.00</t>
  </si>
  <si>
    <t>1761.01.00.00</t>
  </si>
  <si>
    <t>1761.02.00.00</t>
  </si>
  <si>
    <t>1761.03.00.00</t>
  </si>
  <si>
    <t>1762.00.00.00</t>
  </si>
  <si>
    <t>1762.02.00.00</t>
  </si>
  <si>
    <t>1900.00.00.00</t>
  </si>
  <si>
    <t>1910.00.00.00</t>
  </si>
  <si>
    <t>1911.00.00.00</t>
  </si>
  <si>
    <t>1913.00.00.00</t>
  </si>
  <si>
    <t>1919.00.00.00</t>
  </si>
  <si>
    <t>1920.00.00.00</t>
  </si>
  <si>
    <t>1921.00.00.00</t>
  </si>
  <si>
    <t>1922.00.00.00</t>
  </si>
  <si>
    <t>1930.00.00.00</t>
  </si>
  <si>
    <t>1931.00.00.00</t>
  </si>
  <si>
    <t>1990.00.00.00</t>
  </si>
  <si>
    <t>2000.00.00.00</t>
  </si>
  <si>
    <t>2100.00.00.00</t>
  </si>
  <si>
    <t>2110.00.00.00</t>
  </si>
  <si>
    <t>2114.00.00.00</t>
  </si>
  <si>
    <t>2200.00.00.00</t>
  </si>
  <si>
    <t>2210.00.00.00</t>
  </si>
  <si>
    <t>2220.00.00.00</t>
  </si>
  <si>
    <t>2400.00.00.00</t>
  </si>
  <si>
    <t>2420.00.00.00</t>
  </si>
  <si>
    <t>2421.00.00.00</t>
  </si>
  <si>
    <t>2422.00.00.00</t>
  </si>
  <si>
    <t>2470.00.00.00</t>
  </si>
  <si>
    <t>2471.00.00.00</t>
  </si>
  <si>
    <t>2472.00.00.00</t>
  </si>
  <si>
    <t>2500.00.00.00</t>
  </si>
  <si>
    <t xml:space="preserve"> 1722.01.13.00 </t>
  </si>
  <si>
    <t>1762.01.00.00</t>
  </si>
  <si>
    <t>1762.02.01.00</t>
  </si>
  <si>
    <t>1762.99.00.00</t>
  </si>
  <si>
    <t>1764.00.00.00</t>
  </si>
  <si>
    <t>1911.38.00.00</t>
  </si>
  <si>
    <t>1911.39.00.00</t>
  </si>
  <si>
    <t>1911.40.00.00</t>
  </si>
  <si>
    <t>1911.99.00.00</t>
  </si>
  <si>
    <t>1913.11.00.00</t>
  </si>
  <si>
    <t>1913.12.00.00</t>
  </si>
  <si>
    <t>1913.13.00.00</t>
  </si>
  <si>
    <t>1913.99.00.00</t>
  </si>
  <si>
    <t>1919.27.00.00</t>
  </si>
  <si>
    <t>1919.99.00.00</t>
  </si>
  <si>
    <t>1921.06.00.00</t>
  </si>
  <si>
    <t>1921.99.00.00</t>
  </si>
  <si>
    <t>1922.99.00.00</t>
  </si>
  <si>
    <t>1931.11.00.00</t>
  </si>
  <si>
    <t>1931.12.00.00</t>
  </si>
  <si>
    <t>1931.13.00.00</t>
  </si>
  <si>
    <t>1931.98.00.00</t>
  </si>
  <si>
    <t>1931.99.00.00</t>
  </si>
  <si>
    <t>2114.05.00.00</t>
  </si>
  <si>
    <t>2229.00.00.00</t>
  </si>
  <si>
    <t>2421.01.00.00</t>
  </si>
  <si>
    <t>2421.02.00.00</t>
  </si>
  <si>
    <t>2421.99.00.00</t>
  </si>
  <si>
    <t>2422.01.00.00</t>
  </si>
  <si>
    <t>2422.02.00.00</t>
  </si>
  <si>
    <t>2422.99.00.00</t>
  </si>
  <si>
    <t>2471.01.00.00</t>
  </si>
  <si>
    <t>2471.02.00.00</t>
  </si>
  <si>
    <t>2471.03.00.00</t>
  </si>
  <si>
    <t>2471.05.00.00</t>
  </si>
  <si>
    <t>2471.99.00.00</t>
  </si>
  <si>
    <t>2472.01.00.00</t>
  </si>
  <si>
    <t>2472.02.00.00</t>
  </si>
  <si>
    <t>2472.03.00.00</t>
  </si>
  <si>
    <t>2472.05.00.00</t>
  </si>
  <si>
    <t>2472.99.00.00</t>
  </si>
  <si>
    <t>2590.00.00.00</t>
  </si>
  <si>
    <t>Categoria</t>
  </si>
  <si>
    <t>Descrição</t>
  </si>
  <si>
    <t>1112.00.00.00</t>
  </si>
  <si>
    <t xml:space="preserve">DEMONSTRATIVO DAS RECEITAS E DESPESAS COM MANUTENÇÃO </t>
  </si>
  <si>
    <t>E DESENVOLVIMENTO DO ENSINO</t>
  </si>
  <si>
    <t>(ART. 212 - CONSTITUIÇÃO FEDERAL - 1988)</t>
  </si>
  <si>
    <t>FONTES</t>
  </si>
  <si>
    <t>APLICAÇÃO</t>
  </si>
  <si>
    <t>RECEITA PREVISTA RESULTANTE DE IMPOSTOS E TRANSFERÊNCIAS</t>
  </si>
  <si>
    <t>DISCRIMINAÇÃO</t>
  </si>
  <si>
    <t>Valor em R$</t>
  </si>
  <si>
    <t>%</t>
  </si>
  <si>
    <t>IMPOSTOS MUNICIPAIS</t>
  </si>
  <si>
    <t>DÍVIDA ATIVA</t>
  </si>
  <si>
    <t>SUBTOTAL</t>
  </si>
  <si>
    <t>TRANSFERÊNCIAS DA UNIÃO</t>
  </si>
  <si>
    <t>FPM</t>
  </si>
  <si>
    <t>ITR</t>
  </si>
  <si>
    <t>LC 87/96</t>
  </si>
  <si>
    <t>TRANSFERÊNCIAS DO ESTADO</t>
  </si>
  <si>
    <t>IPVA</t>
  </si>
  <si>
    <t>ICMS</t>
  </si>
  <si>
    <t>IPI</t>
  </si>
  <si>
    <t>SUBTOTAL DAS TRANSFERÊNCIAS</t>
  </si>
  <si>
    <t>TOTAL</t>
  </si>
  <si>
    <t>DEMONSTRATIVO DA RECEITA DE IMPOSTOS E DAS DESPESAS PRÓPRIAS COM SAÚDE</t>
  </si>
  <si>
    <t>(§ 2º do Art. 198 da Constituição Federal e Art. 77 do Ato das Disposições Constitucionais Transitórias)</t>
  </si>
  <si>
    <t>DESPESA DESTINADA ÀS AÇÕES E SERVIÇOS PÚBLICOS DE SAÚDE</t>
  </si>
  <si>
    <t>ATENÇÃO BÁSICA</t>
  </si>
  <si>
    <t>DESPESA TOTAL COM SAÚDE</t>
  </si>
  <si>
    <t>TRANSF. DE RECURSOS DO SUS</t>
  </si>
  <si>
    <t>(-) TRANSF. DE RECURSOS DO SUS</t>
  </si>
  <si>
    <t>DESPESA PRÓPRIA COM SAÚDE</t>
  </si>
  <si>
    <t>RECEITAS CORRENTES</t>
  </si>
  <si>
    <t>ASSIST. À CRIANÇA E AO ADOLESCENTE</t>
  </si>
  <si>
    <t>RECEITAS DE CAPITAL</t>
  </si>
  <si>
    <t>1724.01.00.00</t>
  </si>
  <si>
    <t>1724.02.00.00</t>
  </si>
  <si>
    <t>1112.02.01.00</t>
  </si>
  <si>
    <t>IMPOSTO PREDIAL</t>
  </si>
  <si>
    <t>1112.02.02.00</t>
  </si>
  <si>
    <t>IMPOSTO TERRITORIAL URBANO</t>
  </si>
  <si>
    <t>1761.99.00.00</t>
  </si>
  <si>
    <t>OUTRAS TRANSF DE CONV DA UNIÃO</t>
  </si>
  <si>
    <t>2211.00.00.00</t>
  </si>
  <si>
    <t>2219.00.00.00</t>
  </si>
  <si>
    <t>ALIENAÇÃO DE OUTROS MOVEIS</t>
  </si>
  <si>
    <t>TOTAL DAS RECEITAS</t>
  </si>
  <si>
    <t>DESPESA TOTAL COM EDUCAÇÃO</t>
  </si>
  <si>
    <t>RESERVA DE CONTINGÊNCIA</t>
  </si>
  <si>
    <t>RECEITA CORRENTE PREVISTA NESTE ORÇAMENTO</t>
  </si>
  <si>
    <t>DESPESA DESTINADA A RESERVA DE CONTINGÊNCIA</t>
  </si>
  <si>
    <t>TAXAS P/EXERCICIO DO PODER DE POLÍCIA</t>
  </si>
  <si>
    <t>TAXA FISC DE VIGILANCIA SANITÁRIA</t>
  </si>
  <si>
    <t>TAXA LIC FUNCION ESTAB COM IND PREST SERV</t>
  </si>
  <si>
    <t>TAXA FUNCION ESTAB EM HOR ESPECIAL</t>
  </si>
  <si>
    <t>TAXA DE LICENCA P/ EXEC DE OBRAS</t>
  </si>
  <si>
    <t>TAXA UTILIZ AREA DOMINIO PUBLICO</t>
  </si>
  <si>
    <t>TAXA APROV PROJ CONSTRUCAO CIVIL</t>
  </si>
  <si>
    <t>TAXA APREENSAO DEP LIBERAC ANIMAIS</t>
  </si>
  <si>
    <t>OUTRAS TAXAS EXERCICIO PODER DE POLICIA</t>
  </si>
  <si>
    <t>CONTRIB MELH EXP REDE AGUA/ESGOTO</t>
  </si>
  <si>
    <t>CONT PREVIDENCIARIAS DO REGIME PRÓPRIO</t>
  </si>
  <si>
    <t>CONT CUSTEIO SERV ILUMIN PUBLICA</t>
  </si>
  <si>
    <t>RECEITAS DE VALORES MOBILIÁRIOS</t>
  </si>
  <si>
    <t>REC.REM.DEP.REC.VINC-FUNDO SAÚDE</t>
  </si>
  <si>
    <t>RECEITA DA INDUST DE TRANSFORMAÇÃO</t>
  </si>
  <si>
    <t>REC INDUSTRIA DE PRODUTOS ALIMENTARES</t>
  </si>
  <si>
    <t>SERVICOS DE EXPEDICAO DE CERTIFICADOS</t>
  </si>
  <si>
    <t>SERVICOS AGROPECUARIOS</t>
  </si>
  <si>
    <t>SERV DE HOSPEDAGEM E ALIMENTAÇÃO</t>
  </si>
  <si>
    <t>SERV CADASTRAM DE FORNECEDORES</t>
  </si>
  <si>
    <t>SERV COLETA,TRANSP,TRAT,DEST FINAL ESGOTO</t>
  </si>
  <si>
    <t>SERV PREPAR TERRA EM PROP PARTICULARES</t>
  </si>
  <si>
    <t>TRANSFERENCIAS INTERGOVERNAMENTAIS</t>
  </si>
  <si>
    <t>RECEITA TRIBUTARIA</t>
  </si>
  <si>
    <t>IMPOSTOS</t>
  </si>
  <si>
    <t>IMPOSTOS S/ O PATRIM E A RENDA</t>
  </si>
  <si>
    <t>IMP. S/PROP.PREDIAL E TERRITORIAL</t>
  </si>
  <si>
    <t>IMP. S/RENDA E PROVENTOS DE QUALQUER NAT</t>
  </si>
  <si>
    <t>IRRF S/ RENDIMENTOS DO TRABALHO</t>
  </si>
  <si>
    <t>IRRF S/OUTROS RENDIMENTOS</t>
  </si>
  <si>
    <t>IMP S/ TRANS INTER-VIVOS DE BENS IMÓVEIS</t>
  </si>
  <si>
    <t>IMPOSTOS S/PRODUCAO E A CIRCULAÇÃO</t>
  </si>
  <si>
    <t>TAXAS</t>
  </si>
  <si>
    <t>TAXA DE PUBLICIDADE COMERCIAL</t>
  </si>
  <si>
    <t>TAXA DE APREENSAO E DEPOSITO</t>
  </si>
  <si>
    <t>TAXA AUTORIZACAO FUNCION TRANSPORTE</t>
  </si>
  <si>
    <t>TAXA DE ALINHAM E NIVELAMENTO</t>
  </si>
  <si>
    <t>EMOLUM CUSTAS PROCESSUAIS ADMINISTRATIVA</t>
  </si>
  <si>
    <t>TAXA DE CEMITERIOS</t>
  </si>
  <si>
    <t>TAXA DE LIMPEZA PUBLICA</t>
  </si>
  <si>
    <t>OUTRAS TAXAS P/PRESTACAO DE SERVIÇOS</t>
  </si>
  <si>
    <t>CONTRIBUICAO DE MELHORIA</t>
  </si>
  <si>
    <t>CONTRIB MELH EXP REDE ILUMINAÇÃO</t>
  </si>
  <si>
    <t>CONTRIB MELH P/PAVIM E OBRAS</t>
  </si>
  <si>
    <t>OUTRAS CONTRIB DE MELHORIA</t>
  </si>
  <si>
    <t>RECEITAS DE CONTRIBUICOES</t>
  </si>
  <si>
    <t>CONTRIBUICOES SOCIAIS</t>
  </si>
  <si>
    <t>JUROS DE TITULOS DE RENDA</t>
  </si>
  <si>
    <t>OUTROS RENDIMENTOS DE TITULOS</t>
  </si>
  <si>
    <t>DIVIDENDOS</t>
  </si>
  <si>
    <t>REMUNERACAO DE DEPOSITOS BANCÁRIOS</t>
  </si>
  <si>
    <t>REC.REM.DEP.BANC.REC.VINC-CIDE</t>
  </si>
  <si>
    <t>REC.REM.DEP.BANC.REC.VINC-OUTROS</t>
  </si>
  <si>
    <t>OUTRAS REC VALORES MOBILIARIOS</t>
  </si>
  <si>
    <t>RECEITA AGROPECUARIA</t>
  </si>
  <si>
    <t>OUTRAS RECEITAS AGROPECUARIAS</t>
  </si>
  <si>
    <t>RECEITA INDUSTRIAL</t>
  </si>
  <si>
    <t>RECEITA DE SERVICOS</t>
  </si>
  <si>
    <t>SERVICOS DE SAUDE</t>
  </si>
  <si>
    <t>SERVICOS HOSPITALARES</t>
  </si>
  <si>
    <t>SERV RADIOLOGICOS E LABORATORIAIS</t>
  </si>
  <si>
    <t>SERVICOS AMBULATORIAIS</t>
  </si>
  <si>
    <t>SERVICOS ADMINISTRATIVOS</t>
  </si>
  <si>
    <t>SERV INSCR CONCURSOS PUBLICOS</t>
  </si>
  <si>
    <t>SERV DE FORNECIMENTO DE LISTAGENS</t>
  </si>
  <si>
    <t>SERV FOTOCOPIAS E/OU COPIAS HELIOGRÁFICAS</t>
  </si>
  <si>
    <t>SERVICOS EDUCACIONAIS</t>
  </si>
  <si>
    <t>SERV CAPT,ADUCAO,TRAT,RESERV, ÁGUA</t>
  </si>
  <si>
    <t>SERVICOS DE CEMITERIO</t>
  </si>
  <si>
    <t>SERV DE RELIGAMENTO DE AGUA</t>
  </si>
  <si>
    <t>PARTICIPACAO NA RECEITA DA UNIÃO</t>
  </si>
  <si>
    <t>COTA-PARTE DO FPM</t>
  </si>
  <si>
    <t>DEDUCAO RECEITA - FPM</t>
  </si>
  <si>
    <t>COTA-PARTE DO ITR</t>
  </si>
  <si>
    <t>TRANSF COMP FINAN PELA EXPLO REC NATURAIS</t>
  </si>
  <si>
    <t>PISO ATENCAO BASICA (PAB FIXO)</t>
  </si>
  <si>
    <t>COTA-PARTE FUNDO ESPECIAL PETRÓLEO - FEP</t>
  </si>
  <si>
    <t>OUTRAS TRAN DECOR CP FINAN EXP REC NAT</t>
  </si>
  <si>
    <t>TRANSF RECURS DO SUS - REP FUNDO/FUNDO</t>
  </si>
  <si>
    <t>TRANSF RECURS DO FNDE</t>
  </si>
  <si>
    <t>TRANSF DO SALARIO-EDUCACAO</t>
  </si>
  <si>
    <t>TRANSF DIRETA FNDE REF PDDE</t>
  </si>
  <si>
    <t>TRANSF DIRETA FNDE REF PNATE</t>
  </si>
  <si>
    <t>PARTICIPACAO NA REC DOS ESTADOS</t>
  </si>
  <si>
    <t>DEDUCAO RECEITA - ICMS</t>
  </si>
  <si>
    <t>COTA-PARTE DO IPVA</t>
  </si>
  <si>
    <t>COTA-PARTE DO IPI S/EXPORTAÇÃO</t>
  </si>
  <si>
    <t>DEDUCAO RECEITA - IPI/EXPORTA</t>
  </si>
  <si>
    <t>COTA-PARTE CONT INT DOM ECON-CIDE</t>
  </si>
  <si>
    <t>TRANSF COTA-PARTE COMPENSACAO FINANCEIRA</t>
  </si>
  <si>
    <t>OUTRAS TRANSF DOS ESTADOS</t>
  </si>
  <si>
    <t>TRAN REC EST P/PRG SAUDE-REP FUNDO A FUNDO</t>
  </si>
  <si>
    <t>OUTRAS PARTICIP REC DOS ESTADOS</t>
  </si>
  <si>
    <t>TRANSF MULTIGOVERNAMENTAIS</t>
  </si>
  <si>
    <t>TRANSFERENCIAS DE CONVENIOS</t>
  </si>
  <si>
    <t>TRANSF CONV UNIAO E SUAS ENTIDADES</t>
  </si>
  <si>
    <t>TRANSF CONV UNIAO DEST PRG EDUCAÇÃO</t>
  </si>
  <si>
    <t>TRANSF CONV UNIAO DEST PRG ASS SOCIAL</t>
  </si>
  <si>
    <t>TRANSF CONV ESTADOS/DF E SUAS ENTIDADES</t>
  </si>
  <si>
    <t>TRANSF CONV DOS ESTADOS P/ O SUS</t>
  </si>
  <si>
    <t>TRANSF CONV DOS ESTADOS P/EDUCAÇAO</t>
  </si>
  <si>
    <t>PROGRAMA A CAMINHO DA ESCOLA</t>
  </si>
  <si>
    <t>OUTRAS TRANSF DE CONV DOS ESTADOS</t>
  </si>
  <si>
    <t>TRANSF CONVEN DE INSTIT PRIVADAS</t>
  </si>
  <si>
    <t>OUTRAS RECEITAS CORRENTES</t>
  </si>
  <si>
    <t>MULTA JUROS MORA</t>
  </si>
  <si>
    <t>MULTA JUROS MORA DOS TRIBUTOS</t>
  </si>
  <si>
    <t>MULTA JUROS MORA DO IPTU</t>
  </si>
  <si>
    <t>MULTA JUROS MORA DO ITBI</t>
  </si>
  <si>
    <t>MULTA JUROS MORA DO ISS</t>
  </si>
  <si>
    <t>MULTA JUROS MORA DE OUTROS TRIBUTOS</t>
  </si>
  <si>
    <t>MULTA JUROS MORA DIV AT IPTU</t>
  </si>
  <si>
    <t>MULTA JUROS MORA DIV AT ITBI</t>
  </si>
  <si>
    <t>MULTA JUROS MORA DIV AT ISS</t>
  </si>
  <si>
    <t>MULTA JUROS MORA DIV ATIVA OUTROS TRIBUTOS</t>
  </si>
  <si>
    <t>MULTAS DE OUTRAS ORIGENS</t>
  </si>
  <si>
    <t>OUTRAS MULTAS</t>
  </si>
  <si>
    <t>MULTAS E JUROS PREVISTOS EM CONTRATOS</t>
  </si>
  <si>
    <t>INDENIZACOES E RESTITUICOES</t>
  </si>
  <si>
    <t>INDENIZACOES</t>
  </si>
  <si>
    <t>OUTRAS INDENIZACOES</t>
  </si>
  <si>
    <t>RESTITUICOES</t>
  </si>
  <si>
    <t>RECEITA DA DIVIDA ATIVA</t>
  </si>
  <si>
    <t>RECEITA DA DIVIDA ATIVA TRIBUTÁRIA</t>
  </si>
  <si>
    <t>RECEITA DIV AT IMP SOBRE IPTU</t>
  </si>
  <si>
    <t>RECEITA DIV AT ITBI</t>
  </si>
  <si>
    <t>RECEITA DIV AT ISS</t>
  </si>
  <si>
    <t>RECEITA DIVIDA ATIVA DE OUTROS TRIBUTOS</t>
  </si>
  <si>
    <t>RECEITAS DIVERSAS</t>
  </si>
  <si>
    <t>OPERACOES DE CREDITO</t>
  </si>
  <si>
    <t>OPERACOES DE CREDITO INTERNAS</t>
  </si>
  <si>
    <t>OP CRED INTERNAS P/PROGS MOD. ADM PÚBLICA</t>
  </si>
  <si>
    <t>ALIENACAO DE BENS</t>
  </si>
  <si>
    <t>ALIENACAO DE BENS MOVEIS</t>
  </si>
  <si>
    <t>ALIENACAO DE BENS IMOVEIS</t>
  </si>
  <si>
    <t>TRANSFERENCIAS DE CAPITAL</t>
  </si>
  <si>
    <t>TRANSF DE RECURSOS DO SUS</t>
  </si>
  <si>
    <t>OUTRAS TRANSFERENCIAS DA UNIÃO</t>
  </si>
  <si>
    <t>TRANSF REC DEST PROGS EDUCAÇÃO</t>
  </si>
  <si>
    <t>TRANSF CONV DA UNIAO E DE SUAS ENTIDADES</t>
  </si>
  <si>
    <t>TRANSF CONV DA UNIAO P/SUS</t>
  </si>
  <si>
    <t>TRANSF CONV DA UNIAO PROGS EDUCAÇÃO</t>
  </si>
  <si>
    <t>TRAN CONV UN DEST PRGS INFRA-ESTRUTURA</t>
  </si>
  <si>
    <t>TRANSF CONV DOS ESTADOS P/O SUS</t>
  </si>
  <si>
    <t>TRANSF CONV EST DEST A PROGS EDUCAÇÃO</t>
  </si>
  <si>
    <t>TRAN CONV EST DEST A PRGS DE SANEAM BAS</t>
  </si>
  <si>
    <t>TRAN CONV EST DEST PROG INFRA ESTR TRANSP</t>
  </si>
  <si>
    <t>OUTRAS RECEITAS DE CAPITAL</t>
  </si>
  <si>
    <t>OUTRAS RECEITAS</t>
  </si>
  <si>
    <t>ALIENAÇÃO DE TIT MOBILIÁRIOS</t>
  </si>
  <si>
    <t>TRANSF CONV DOS ESTADOS/DF/E SUAS ENTIDADES</t>
  </si>
  <si>
    <t>1722.33.00.00</t>
  </si>
  <si>
    <t>1722.99.00.00</t>
  </si>
  <si>
    <t>1722.22.90.00</t>
  </si>
  <si>
    <t xml:space="preserve">1121.28.00.00 </t>
  </si>
  <si>
    <t>1600.05.03.00</t>
  </si>
  <si>
    <t>1722.01.02.00</t>
  </si>
  <si>
    <t>1722.01.04.00</t>
  </si>
  <si>
    <t>1722.01.99.00</t>
  </si>
  <si>
    <t>1990.99.00.00</t>
  </si>
  <si>
    <t>RECEITA DA DIVIDA ATIVA NÃO TRIBUTARIA</t>
  </si>
  <si>
    <t>1721.33.99.00</t>
  </si>
  <si>
    <t>1721.34.00.00</t>
  </si>
  <si>
    <t>1721.34.99.00</t>
  </si>
  <si>
    <t>TRANSF. RECUSOS DO FNAS</t>
  </si>
  <si>
    <t>1990.02.00.00</t>
  </si>
  <si>
    <t>1990.02.01.00</t>
  </si>
  <si>
    <t>RECEITA DE HONORARIOS DE ADVOGADOS</t>
  </si>
  <si>
    <t>TAXA DE SERVICOS ADMINISTRATIVOS</t>
  </si>
  <si>
    <t xml:space="preserve"> 1390.00.00.00 </t>
  </si>
  <si>
    <t xml:space="preserve">1210.29.01.00 </t>
  </si>
  <si>
    <t>1600.16.01.00</t>
  </si>
  <si>
    <t>1600.16.02.00</t>
  </si>
  <si>
    <t>SERVIÇOS DE MATRÍCULAS</t>
  </si>
  <si>
    <t>1600.16.03.00</t>
  </si>
  <si>
    <t>SERVIÇOS DE INSCRIÇÃO DE VESTIBULAR</t>
  </si>
  <si>
    <t>1600.16.99.00</t>
  </si>
  <si>
    <t>1750.00.00.00</t>
  </si>
  <si>
    <t>DEDUÇÃO ICMS DESONERAÇÃO - LC 87/96</t>
  </si>
  <si>
    <t>TRANSF FINANC. ICMS - DESONERAÇÃO - LC 87/96</t>
  </si>
  <si>
    <t>1721.99.00.00</t>
  </si>
  <si>
    <t>OUTRAS TRANSF DA UNIAO</t>
  </si>
  <si>
    <t>FUNDO DE ASSISTÊNCIA SOCIAL</t>
  </si>
  <si>
    <t>AUTARQUIA</t>
  </si>
  <si>
    <t>FUNDECA</t>
  </si>
  <si>
    <t>1730.00.00.00</t>
  </si>
  <si>
    <t>TRANSFERÊNCIAS DE PESSOAS</t>
  </si>
  <si>
    <t>TRANSFERÊNCIAS DE INSTITUIÇÕES PRIVADAS</t>
  </si>
  <si>
    <t>Assist. Social</t>
  </si>
  <si>
    <t>Saúde</t>
  </si>
  <si>
    <t>Autarquia</t>
  </si>
  <si>
    <t>Adm Direta</t>
  </si>
  <si>
    <t>RPPS</t>
  </si>
  <si>
    <t>Natureza da Conta (Vinculação)</t>
  </si>
  <si>
    <t>ESPECIFICAÇÃO DAS RECEITAS</t>
  </si>
  <si>
    <t>ANUIDADE DO 1º GRAU</t>
  </si>
  <si>
    <t>ANUIDADE DO 2º GRAU</t>
  </si>
  <si>
    <t>ANUIDADE DO 3º GRAU</t>
  </si>
  <si>
    <t>1600.16.04.00</t>
  </si>
  <si>
    <t>PÓS-GRADUAÇÃO</t>
  </si>
  <si>
    <t>1600.22.00.00</t>
  </si>
  <si>
    <t>SERVIÇOS DE ESTUDOS E PESQUISAS</t>
  </si>
  <si>
    <t>OUTRAS TRANSF DECOR COMP FINANCEIRA</t>
  </si>
  <si>
    <t>1721.35.99.01</t>
  </si>
  <si>
    <t>1721.34.01.00</t>
  </si>
  <si>
    <t>1721.34.02.00</t>
  </si>
  <si>
    <t>1721.34.03.00</t>
  </si>
  <si>
    <t>1721.34.04.00</t>
  </si>
  <si>
    <t>1721.34.05.00</t>
  </si>
  <si>
    <t>1721.34.07.00</t>
  </si>
  <si>
    <t>MULTA JUROS MORA DIV ATIVA DOS IMPOSTOS</t>
  </si>
  <si>
    <t>REC DIV AT DAS CONTRIBUICOES DE MELHORIA</t>
  </si>
  <si>
    <t>1932.00.00.00</t>
  </si>
  <si>
    <t>1932.99.01.00</t>
  </si>
  <si>
    <t>REC. DIVIDA ATIVA NÃO TRIB. DE OUTRAS RECEITAS</t>
  </si>
  <si>
    <t>ALIENACAO DE OUTROS BENS IMOVEIS</t>
  </si>
  <si>
    <t>TRANSF REC DEST A PROGS EDUCAÇÃO</t>
  </si>
  <si>
    <t>TRANSF CONV SUS</t>
  </si>
  <si>
    <t>Educação</t>
  </si>
  <si>
    <t>OPERACOES DE CREDITO INTERNAS - CONTRATUAIS</t>
  </si>
  <si>
    <t>CONTRIBUICAO PATRONAL SERV. ATIVO CIVIL</t>
  </si>
  <si>
    <t>1210.29.09.00</t>
  </si>
  <si>
    <t>1210.29.11.00</t>
  </si>
  <si>
    <t>TRAN CONV UNIAO DEST PROG SANEAMENTO BASICO</t>
  </si>
  <si>
    <t>1121.22.00.00</t>
  </si>
  <si>
    <t>1122.12.00.00</t>
  </si>
  <si>
    <t>1600.16.05.00</t>
  </si>
  <si>
    <t>1600.16.06.00</t>
  </si>
  <si>
    <t>Valor mínimo a ser aplicado em Educação</t>
  </si>
  <si>
    <t>Valor Mínimo a ser aplicado em Saúde</t>
  </si>
  <si>
    <t>CRIANÇA E AO ADOLESCENTE</t>
  </si>
  <si>
    <t>Mínimo Reserva Contingência</t>
  </si>
  <si>
    <t>REC.REM.DEP.BANC.REC.VINC-FNAS</t>
  </si>
  <si>
    <t>ADMINISTRAÇÃO GERAL</t>
  </si>
  <si>
    <t>VIGILÂNCIA SANITÁRIA</t>
  </si>
  <si>
    <t>* Disposições introduzidas pela Emenda Constitucionais nº 29/2000.</t>
  </si>
  <si>
    <t>DEDUÇÃO RECETA COTA-PARTE DO ITR</t>
  </si>
  <si>
    <t>1325.01.02.00</t>
  </si>
  <si>
    <t xml:space="preserve"> 1325.01.03.00 </t>
  </si>
  <si>
    <t>1325.01.09.00</t>
  </si>
  <si>
    <t>1325.01.10.00</t>
  </si>
  <si>
    <t>1325.01.99.00</t>
  </si>
  <si>
    <t>1600.05.10.00</t>
  </si>
  <si>
    <t>1721.01.02.01</t>
  </si>
  <si>
    <t>91721.01.02.01</t>
  </si>
  <si>
    <t>1721.01.05.01</t>
  </si>
  <si>
    <t>91721.01.05.01</t>
  </si>
  <si>
    <t>1721.33.10.01</t>
  </si>
  <si>
    <t>1721.33.10.02</t>
  </si>
  <si>
    <t>1721.33.10.03</t>
  </si>
  <si>
    <t>1721.33.10.04</t>
  </si>
  <si>
    <t>1721.33.10.05</t>
  </si>
  <si>
    <t>FATOR INCENTIVO ATENÇÃO BASICA - POVOS INDIGENAS</t>
  </si>
  <si>
    <t>1721.33.10.06</t>
  </si>
  <si>
    <t>INCENTIVO ATENÇÃO À SAÚDE - SISTEMA PENITENCIARIO</t>
  </si>
  <si>
    <t>1721.33.10.07</t>
  </si>
  <si>
    <t>INCENTIVO: ATENÇÃO INTEGRAL À SAÚDE DO ADOLESCENTE</t>
  </si>
  <si>
    <t>1721.33.10.99</t>
  </si>
  <si>
    <t>OUTROS PROGRAMAS FINANC. POR TRANSF. FUNDO A FUNDO</t>
  </si>
  <si>
    <t>1721.33.10.00</t>
  </si>
  <si>
    <t>ATENÇÃO DE MAC AMBULATORIAL E HOSPITALAR</t>
  </si>
  <si>
    <t>1721.33.20.01</t>
  </si>
  <si>
    <t>TETO FINANCEIRO</t>
  </si>
  <si>
    <t>1721.33.20.02</t>
  </si>
  <si>
    <t>SAMU - SERVIÇO DE ATENDIMENTO MÓVEL DE URGÊNCIA</t>
  </si>
  <si>
    <t>1721.33.20.03</t>
  </si>
  <si>
    <t>CEO - CENTRO DE ESPECIALIDADES ODONTOLOGICAS</t>
  </si>
  <si>
    <t>1721.33.20.04</t>
  </si>
  <si>
    <t>CAPS - CENTRO DE ATENÇÃO PSICOSOCIAL</t>
  </si>
  <si>
    <t>1721.33.20.05</t>
  </si>
  <si>
    <t>CEREST - CENTRO DE REFERÊNCIA EM SAÚDE DO TRABALHADOR</t>
  </si>
  <si>
    <t>1721.33.20.06</t>
  </si>
  <si>
    <t>CNRAC - CENTRO NACIONAL REGULAÇÃO DE ALTA COMPLEXIDADE</t>
  </si>
  <si>
    <t>1721.33.20.07</t>
  </si>
  <si>
    <t>TERAPIA RENAL SUBSTITUTIVA</t>
  </si>
  <si>
    <t>1721.33.20.08</t>
  </si>
  <si>
    <t>TRANSPLANTE - CORNEA</t>
  </si>
  <si>
    <t>1721.33.20.09</t>
  </si>
  <si>
    <t>TRANSPLANTE - RIM</t>
  </si>
  <si>
    <t>1721.33.20.10</t>
  </si>
  <si>
    <t>TRANSPLANTE - FIGADO</t>
  </si>
  <si>
    <t>1721.33.20.11</t>
  </si>
  <si>
    <t>TRANSPLANTE - PULMÃO</t>
  </si>
  <si>
    <t>1721.33.20.12</t>
  </si>
  <si>
    <t>TRANSPLANTE - CORAÇÃO</t>
  </si>
  <si>
    <t>1721.33.20.13</t>
  </si>
  <si>
    <t>TRANSPLANTE - OUTROS</t>
  </si>
  <si>
    <t>1721.33.20.99</t>
  </si>
  <si>
    <t>1721.33.30.00</t>
  </si>
  <si>
    <t>VIGILÂNCIA EM SAÚDE</t>
  </si>
  <si>
    <t>1721.33.30.01</t>
  </si>
  <si>
    <t>VIGILÂNCIA EPIDEMIOLOGICA E AMBIENTAL EM SAUDE</t>
  </si>
  <si>
    <t>1721.33.30.99</t>
  </si>
  <si>
    <t>1721.33.40.00</t>
  </si>
  <si>
    <t>ASSISTÊNCIA FARMACÊUTICA</t>
  </si>
  <si>
    <t>1721.33.40.01</t>
  </si>
  <si>
    <t>1721.33.40.99</t>
  </si>
  <si>
    <t>1721.33.50.00</t>
  </si>
  <si>
    <t>GESTÃO DO SUS</t>
  </si>
  <si>
    <t>1721.33.50.01</t>
  </si>
  <si>
    <t>QUALIFICAÇÃO DA GESTÃO DO SUS</t>
  </si>
  <si>
    <t>1721.33.50.02</t>
  </si>
  <si>
    <t>IMPLANTAÇÃO DE AÇÕES E SERVIÇOS DE SAÚDE</t>
  </si>
  <si>
    <t>1721.33.50.03</t>
  </si>
  <si>
    <t>COMP. BÁSICO DA ASSIST. FARMACÊUTICA FIXO</t>
  </si>
  <si>
    <t>CONTRIBUICOES ECONOMICAS</t>
  </si>
  <si>
    <t>1721.36.01.00</t>
  </si>
  <si>
    <t>91721.36.01.00</t>
  </si>
  <si>
    <t>91722.01.01.00</t>
  </si>
  <si>
    <t>91722.01.02.00</t>
  </si>
  <si>
    <t>DEDUÇÃO RECEITA - IPVA</t>
  </si>
  <si>
    <t>TRANSF DE RECURSOS DO FUNDEB</t>
  </si>
  <si>
    <t>TRANS REC COMPL UNIAO AO FUNDEB</t>
  </si>
  <si>
    <t>REC ONUS SUCUMBENCIA DE ACOES JUDICIAIS</t>
  </si>
  <si>
    <t>1922.99.01.00</t>
  </si>
  <si>
    <t>1922.99.02.00</t>
  </si>
  <si>
    <t>1922.99.03.00</t>
  </si>
  <si>
    <t>1922.99.04.00</t>
  </si>
  <si>
    <t>OUTRAS RESTITUIÇÕES</t>
  </si>
  <si>
    <t>OUTRAS RESTITUIÇÕES (PM)</t>
  </si>
  <si>
    <t>OUTRAS RESTITUIÇÕES (FMS)</t>
  </si>
  <si>
    <t>OUTRAS RESTITUIÇÕES (FMAS)</t>
  </si>
  <si>
    <t>OUTRAS RESTITUIÇÕES (FUNDECA)</t>
  </si>
  <si>
    <t>1922.99.05.00</t>
  </si>
  <si>
    <t>1922.99.06.00</t>
  </si>
  <si>
    <t>OUTRAS RESTITUIÇÕES (AUTARQUIAS)</t>
  </si>
  <si>
    <t>OUTRAS RESTITUIÇÕES (RPPS)</t>
  </si>
  <si>
    <t>RECEITA TRIBUTÁRIA</t>
  </si>
  <si>
    <t>TAXA FISC DE VIGILÂNCIA SANITÁRIA</t>
  </si>
  <si>
    <t>REMUNERAÇÃO DE DEPÓSITOS BANCÁRIOS</t>
  </si>
  <si>
    <t>REC.REM.DEP.REC.VINCULADOS</t>
  </si>
  <si>
    <t>SERVIÇOS DE SAÚDE</t>
  </si>
  <si>
    <t>SERVIÇOS HOSPITALARES</t>
  </si>
  <si>
    <t>SERV RADIOLÓGICOS E LABORATORIAIS</t>
  </si>
  <si>
    <t>SERVIÇOS AMBULATORIAIS</t>
  </si>
  <si>
    <t>OUTROS SERVIÇOS DE SAÚDE</t>
  </si>
  <si>
    <t>TRANSFERENCIAS DA UNIÃO</t>
  </si>
  <si>
    <t>1919.26.00.00</t>
  </si>
  <si>
    <t>MULTAS PREVISTAS NA LEGISL.S/ DEFESA DOS DIREITOS DIFUSOS</t>
  </si>
  <si>
    <t>1325.01.99.01</t>
  </si>
  <si>
    <t>1325.01.99.02</t>
  </si>
  <si>
    <t>1325.01.99.03</t>
  </si>
  <si>
    <t>REC.REM.DEP.BANC.REC.VINC-RPPS</t>
  </si>
  <si>
    <t>REC.REM.DEP.BANC.REC.VINC-FUNDECA</t>
  </si>
  <si>
    <t>REC.REM.DEP.BANC.REC.VINC-AUTARQUIAS</t>
  </si>
  <si>
    <t>AUTARQUIAS</t>
  </si>
  <si>
    <t>OUTROS SERVIÇOS EDUCACIONAIS</t>
  </si>
  <si>
    <t>TRANSFERÊNCIA BRUTA DO FUNDEB</t>
  </si>
  <si>
    <t>(-) DEDUÇÃO P/ FORM. DO FUNDEB</t>
  </si>
  <si>
    <t>TRANSF. LÍQUIDA DO FUNDEB</t>
  </si>
  <si>
    <t>1325.01.99.04</t>
  </si>
  <si>
    <t>REC.REM.DEP.BANC.REC.VINC-OUTRAS</t>
  </si>
  <si>
    <t>1721.35.99.99</t>
  </si>
  <si>
    <t>OUTRAS TRANSF DO FNDE</t>
  </si>
  <si>
    <t>(-) TRANSF. LÍQUIDA DO FUNDEB</t>
  </si>
  <si>
    <t>DIVISIBILIDADE POR 12</t>
  </si>
  <si>
    <t>1721.34.06.00</t>
  </si>
  <si>
    <t>REMUNERAÇÃO DE DEPÓSITOS DE RECURSOS VINCULADOS</t>
  </si>
  <si>
    <t>1325.01.01.00</t>
  </si>
  <si>
    <t>REC.REM.DEP.BANC.REC.VINC-ROYALTIES</t>
  </si>
  <si>
    <t>REC.REM.DEP.BANC.REC.VINC-FUNDEB</t>
  </si>
  <si>
    <t>REC.REM.DEP.BANC.REC.VINC-FUNDO MUNICIPAL DE SAÚDE</t>
  </si>
  <si>
    <t xml:space="preserve"> 1325.01.05.00 </t>
  </si>
  <si>
    <t>1325.02.00.00</t>
  </si>
  <si>
    <t>REMUNERAÇÃO DE DEPÓSITOS DE RECURSOS NÃO VINCULADOS</t>
  </si>
  <si>
    <t>1325.02.99.00</t>
  </si>
  <si>
    <t>REMUNERAÇÃO DE OUTROS DEP. RECURSOS NÃO VINCULADOS</t>
  </si>
  <si>
    <t>PAIF - PROGRAMA DE ATENÇÃO INTEGRAL À FAMÍLIA</t>
  </si>
  <si>
    <t>CREAS - CENTROS DE REF. ESPECIALIZADOS DE ASSIST. SOCIAL</t>
  </si>
  <si>
    <t>IGD - ÍNDICE DE GESTÃO DESCENTRALIZADA</t>
  </si>
  <si>
    <t>OUTRAS TRANSFERÊNCIAS DO FUNDO NACIONAL DE ASSIST. SOCIAL</t>
  </si>
  <si>
    <t>PNAC / PNAE CRECHE - PROGRAMA NAC. DE ALIMENTAÇÃO ESCOLAR</t>
  </si>
  <si>
    <t>OUTRAS TRANSF DIRETAS DO FNDE</t>
  </si>
  <si>
    <t>TRANSF CONV UNIAO DEST SUS</t>
  </si>
  <si>
    <t>INDENIZAÇÃO POR DANOS CAUSADOS AO PATRIMONIO PÚBLICO</t>
  </si>
  <si>
    <t>FUNDO MUNICIPAL DE SAÚDE</t>
  </si>
  <si>
    <t>1762.99.01.00</t>
  </si>
  <si>
    <t>1919.99.01.00</t>
  </si>
  <si>
    <t>1919.99.09.00</t>
  </si>
  <si>
    <t>OUTRAS MULTAS - AUTARQUIA</t>
  </si>
  <si>
    <t>OUTRAS MULTAS - PREFEITURA</t>
  </si>
  <si>
    <t>1328.00.00.00</t>
  </si>
  <si>
    <t>REMUNERAÇÃO DOS INVESTIMENTOS DO RPPS</t>
  </si>
  <si>
    <t>TOTAL - RECEITAS ORÇAMENTÁRIAS</t>
  </si>
  <si>
    <t>7000.00.00.00</t>
  </si>
  <si>
    <t>7200.00.00.00</t>
  </si>
  <si>
    <t>7210.00.00.00</t>
  </si>
  <si>
    <t>7210.29.00.00</t>
  </si>
  <si>
    <t>RECEITAS CORRENTES - INTRA-ORCAMENTARIAS</t>
  </si>
  <si>
    <t>RECEITAS DE CONTRIBUICOES - INTRA-ORCAMENTARIAS</t>
  </si>
  <si>
    <t>CONTRIBUICOES SOCIAIS - INTRA-ORCAMENTARIAS</t>
  </si>
  <si>
    <t>CONTRIBUICOES PREVIDENCIARIAS DO RPPS</t>
  </si>
  <si>
    <t>TOTAL - RECEITAS INTRA-ORÇAMENTÁRIAS</t>
  </si>
  <si>
    <t>RECEITA TOTAL</t>
  </si>
  <si>
    <t>MULTA E JUROS DE MORA DOS TRIBUTOS E DÍVIDA ATIVA TRIBUTÁRIA</t>
  </si>
  <si>
    <t>DESPESA ORÇADA COM MANUTENÇÃO E DESENVOLVIMENTO DO ENSINO POR SUBFUNÇÃO</t>
  </si>
  <si>
    <t>DESPESA PRÓPRIA COM EDUCAÇÃO</t>
  </si>
  <si>
    <t>DEMONSTRATIVO DOS RECURSOS DESTINADOS À</t>
  </si>
  <si>
    <t>DESPESA DESTINADA PARA ASSISTÊNCIA À CRIANÇA E AO ADOLESCENTE</t>
  </si>
  <si>
    <t>RECEITA ORÇAMENTÁRIA PREVISTA NESTE ORÇAMENTO</t>
  </si>
  <si>
    <t>Mínimo Assist. Criança e Adolescente</t>
  </si>
  <si>
    <t>Informações Complementares</t>
  </si>
  <si>
    <t>Receita Tributária</t>
  </si>
  <si>
    <t>Receita Tributária Mínima a Prever</t>
  </si>
  <si>
    <t>FUNDEB</t>
  </si>
  <si>
    <t>MULTA JUROS MORA DAS CONTRIBUIÇÕES</t>
  </si>
  <si>
    <t>1912.00.00.00</t>
  </si>
  <si>
    <t>1912.29.00.00</t>
  </si>
  <si>
    <t>1912.29.01.00</t>
  </si>
  <si>
    <t>1912.29.02.00</t>
  </si>
  <si>
    <t>1912.29.03.00</t>
  </si>
  <si>
    <t>MULTA JUROS MORA CONTRIB.PATRONAL PARA O RPPS</t>
  </si>
  <si>
    <t>MULTA JUROS MORA CONTRIB.SERVIDOR PARA O RPPS</t>
  </si>
  <si>
    <t>MULTA JUROS MORA CONTRIB.PREVID.REGIME DE PARCEL.DÉBITOS</t>
  </si>
  <si>
    <t>MULTA JUROS MORA DAS CONTRIBUIÇÕES PARA O RPPS</t>
  </si>
  <si>
    <t>(-)</t>
  </si>
  <si>
    <t>PROJOVEM</t>
  </si>
  <si>
    <t>1721.35.99.02</t>
  </si>
  <si>
    <t>PNAP PRÉ-ESCOLA</t>
  </si>
  <si>
    <t>PPD - PROGRAMA PORTADOR DE DEFICIÊNCIA</t>
  </si>
  <si>
    <t>1721.34.08.00</t>
  </si>
  <si>
    <t xml:space="preserve">1313.00.00.00 </t>
  </si>
  <si>
    <t xml:space="preserve">1314.00.00.00 </t>
  </si>
  <si>
    <t>FOROS</t>
  </si>
  <si>
    <t>LAUDÊMIOS</t>
  </si>
  <si>
    <t>DEMAIS PROGRAMAS - FUNDO A FUNDO</t>
  </si>
  <si>
    <t>1721.33.99.99</t>
  </si>
  <si>
    <t>7910.00.00.00</t>
  </si>
  <si>
    <t>7912.00.00.00</t>
  </si>
  <si>
    <t>7912.29.00.00</t>
  </si>
  <si>
    <t>7912.29.01.00</t>
  </si>
  <si>
    <t>7912.29.02.00</t>
  </si>
  <si>
    <t>OUTRAS RECEITAS CORRENTES - INTRA-ORÇAMENTÁRIAS</t>
  </si>
  <si>
    <t>MULTAS E JUROS DE MORA</t>
  </si>
  <si>
    <t>MULTAS E JUROS DE MORA DAS CONTRIBUIÇÕES</t>
  </si>
  <si>
    <t>MULTAS E JUROS DE MORA DA CONTRIBUIÇÃO PARA O RPPS</t>
  </si>
  <si>
    <t>MULTAS E JUROS DE MORA DAS CONTRIBUIÇÕES PATRONAIS</t>
  </si>
  <si>
    <t>MULTAS E JUROS DE MORA DAS CONTRIBUIÇÕES DO SERVIDOR</t>
  </si>
  <si>
    <t>7900.00.00.00</t>
  </si>
  <si>
    <t>1321.06.00.00</t>
  </si>
  <si>
    <t>TÍTULOS DE RESPONSABILIDADE DO GOVERNO FEDERAL</t>
  </si>
  <si>
    <t>1321.06.01.00</t>
  </si>
  <si>
    <t>TÍTULOS DE RESPONSABILIDADE DO GOVERNO FEDERAL - RPPS</t>
  </si>
  <si>
    <t>OUTRAS REC. VINC. EDUCAÇÃO, EXCETO PNAE, PNAC E PNAP</t>
  </si>
  <si>
    <t>(-) OUTRAS REC. VINC. EDUCAÇÃO, EXCETO PNAE, PNAC E PNAP</t>
  </si>
  <si>
    <t>SAÚDE DA FAMILIA - SF</t>
  </si>
  <si>
    <t>AGENTES COMUNITARIOS DE SAÚDE - ACS</t>
  </si>
  <si>
    <t>SAÚDE BUCAL - SB</t>
  </si>
  <si>
    <t>FARMÁCIA POPULAR DO BRASIL</t>
  </si>
  <si>
    <t>REMUNERAÇÃO DE OUTROS DEP. RECURSOS NÃO VINCULADOS - FMS</t>
  </si>
  <si>
    <t>1325.02.99.01</t>
  </si>
  <si>
    <t>1325.02.99.99</t>
  </si>
  <si>
    <t>REMUNERAÇÃO DE OUTROS DEP. REC. NÃO VINCULADOS - DIVERSOS</t>
  </si>
  <si>
    <t>1721.33.10.08</t>
  </si>
  <si>
    <t>COMPENSAÇÃO DE ESPECIFICIDADES REGIONAIS</t>
  </si>
  <si>
    <t>1721.33.10.09</t>
  </si>
  <si>
    <t>PROGRAMA SAÚDE NA ESCOLA - PSE</t>
  </si>
  <si>
    <t>SENTINELA - COMBATE ABUSO EXPLOR. SEXUAL CRIANÇAS ADOLESCENTES</t>
  </si>
  <si>
    <t>PETI - PROGRAMA DE ERRADICAÇÃO DO TRABALHO INFANTIL</t>
  </si>
  <si>
    <t>1721.34.09.00</t>
  </si>
  <si>
    <t>CRAS - CENTRO DE REF. DE ASSISTÊNCIA SOCIAL</t>
  </si>
  <si>
    <t>1762.99.99.00</t>
  </si>
  <si>
    <t>OUTRAS TRANSF DE CONV DOS ESTADOS - ASSIST. SOCIAL</t>
  </si>
  <si>
    <t>TOTAL CONSOLIDADO</t>
  </si>
  <si>
    <t>PREFEITURA</t>
  </si>
  <si>
    <t xml:space="preserve">1600.32.00.00 </t>
  </si>
  <si>
    <t>SERV CADASTRAM DA ATIVIDADE MINERAL</t>
  </si>
  <si>
    <t>2430.00.00.00</t>
  </si>
  <si>
    <t>TRANSFERENCIAS DE INSTITUIÇÕES PRIVADAS</t>
  </si>
  <si>
    <t>1762.99.02.00</t>
  </si>
  <si>
    <t>OUTRAS TRANSF DE CONV DOS ESTADOS - FUNDECA</t>
  </si>
  <si>
    <t>1761.99.01.00</t>
  </si>
  <si>
    <t>1761.99.99.00</t>
  </si>
  <si>
    <t>OUTRAS TRANSF DE CONV DA UNIÃO - PREFEITURA</t>
  </si>
  <si>
    <t>TRANSF DE CONV DA UNIÃO - FUNDECA</t>
  </si>
  <si>
    <t xml:space="preserve"> 19722.01.04.00</t>
  </si>
  <si>
    <t>1721.22.20.00</t>
  </si>
  <si>
    <t>COTA-PARTE COMPENSAÇÃO FINANCEIRA REC. MINERAIS - CFM</t>
  </si>
  <si>
    <t>1721.22.40.00</t>
  </si>
  <si>
    <t>COTA-PARTE ROYALTIES EXCEDENTE PRODUÇÃO PETRÓLEO</t>
  </si>
  <si>
    <t>PNAE EJA</t>
  </si>
  <si>
    <t>PNAEM - MÉDIO</t>
  </si>
  <si>
    <t>1721.35.99.03</t>
  </si>
  <si>
    <t>1721.35.99.04</t>
  </si>
  <si>
    <t>1922.10.00.00</t>
  </si>
  <si>
    <t>COMPENS. FINANC. ENTRE REG. GERAL E REGIME PRÓPRIO PREVID.</t>
  </si>
  <si>
    <t>1922.10.01.00</t>
  </si>
  <si>
    <t>COMPENS. FINANC. ENTRE REG. GERAL E REGIME PRÓPRIO - PRINCIPAL</t>
  </si>
  <si>
    <t>ASSISTÊNCIA HOSPITALAR E AMBULATORIAL</t>
  </si>
  <si>
    <t>SUPORTE PROFILÁTICO E TERAPÊUTICO</t>
  </si>
  <si>
    <t>1721.33.10.10</t>
  </si>
  <si>
    <t>NÚCLEO DE APOIO A SAÚDE DA FAMÍLIA - NASF</t>
  </si>
  <si>
    <t>7210.29.05.00</t>
  </si>
  <si>
    <t>VIGILÂNCIA EPIDEMIOLÓGICA</t>
  </si>
  <si>
    <t>VIGILÂNCIA E PROMOÇÃO DA SAÚDE</t>
  </si>
  <si>
    <t>1721.33.10.11</t>
  </si>
  <si>
    <t>IMPLANT POLÍTICA NACIONAL DE ATENÇÃO À SAÚDE DO HOMEM</t>
  </si>
  <si>
    <t>1721.33.60.00</t>
  </si>
  <si>
    <t>INVESTIMENTOS NA REDE DE SERVIÇOS DE SAÚDE</t>
  </si>
  <si>
    <t>1721.33.60.01</t>
  </si>
  <si>
    <t>Fontes de recursos</t>
  </si>
  <si>
    <t>Rec. Próprio</t>
  </si>
  <si>
    <t>0.1.00</t>
  </si>
  <si>
    <t>0.1.01</t>
  </si>
  <si>
    <t>0.1.02</t>
  </si>
  <si>
    <t>Rec. Vinculado</t>
  </si>
  <si>
    <t>0.1.18</t>
  </si>
  <si>
    <t>0.1.19</t>
  </si>
  <si>
    <t>0.1.20*</t>
  </si>
  <si>
    <t>0.1.70</t>
  </si>
  <si>
    <t>0.1.52</t>
  </si>
  <si>
    <t>0.1.58</t>
  </si>
  <si>
    <t>10 – PDDE</t>
  </si>
  <si>
    <t>0.1.59</t>
  </si>
  <si>
    <t>11 – PNAE</t>
  </si>
  <si>
    <t>0.1.60</t>
  </si>
  <si>
    <t>12 – PNAT</t>
  </si>
  <si>
    <t>0.1.61</t>
  </si>
  <si>
    <t>0.1.62</t>
  </si>
  <si>
    <t>0.1.22</t>
  </si>
  <si>
    <t>0.1.23</t>
  </si>
  <si>
    <t>0.1.25*</t>
  </si>
  <si>
    <t>0.1.24</t>
  </si>
  <si>
    <t>0.1.81</t>
  </si>
  <si>
    <t>0.1.82</t>
  </si>
  <si>
    <t>0.1.83</t>
  </si>
  <si>
    <t>0.1.43</t>
  </si>
  <si>
    <t>0.1.03</t>
  </si>
  <si>
    <t>01– Rec. Próprios</t>
  </si>
  <si>
    <t>07 – Rec SUS</t>
  </si>
  <si>
    <t>08 – Rec FNAS</t>
  </si>
  <si>
    <t>09 – Salário Educ</t>
  </si>
  <si>
    <t>02 – MDE</t>
  </si>
  <si>
    <t>03 – Saúde</t>
  </si>
  <si>
    <t>04 FUNDEB 60%</t>
  </si>
  <si>
    <t>05 FUNDEB 40%</t>
  </si>
  <si>
    <t>06 Comp/FUNDB</t>
  </si>
  <si>
    <t>13 – Out./FNDE</t>
  </si>
  <si>
    <t>14 – Conv Educ.</t>
  </si>
  <si>
    <t>15 – Conv Saúde</t>
  </si>
  <si>
    <t>16 Conv.Assist.S</t>
  </si>
  <si>
    <t>17 – Outros Conv</t>
  </si>
  <si>
    <t>18 Op.Créd Educ.</t>
  </si>
  <si>
    <t>19 Op.Créd Saúde</t>
  </si>
  <si>
    <t>20 OutrasOp.Créd</t>
  </si>
  <si>
    <t>21 Outras Fontes</t>
  </si>
  <si>
    <t>22 Cont.Previdenc</t>
  </si>
  <si>
    <t>01– Recursos Próprios</t>
  </si>
  <si>
    <t>02 – Impostos e Transferências MDE</t>
  </si>
  <si>
    <t>03 – Impostos e Transferências Saúde</t>
  </si>
  <si>
    <t>04 – FUNDEB 60%</t>
  </si>
  <si>
    <t>05 – FUNDEB 40%</t>
  </si>
  <si>
    <t xml:space="preserve">06 – Complemento da União ao  FUNDEB </t>
  </si>
  <si>
    <t>07 – Recursos Transferidos pelo SUS</t>
  </si>
  <si>
    <t>08 – Recursos Transferidos pelo FNAS</t>
  </si>
  <si>
    <t>09 – Salário Educação</t>
  </si>
  <si>
    <t>13 – Outras Transf. do FNDE</t>
  </si>
  <si>
    <t>14 – Convênios Educação</t>
  </si>
  <si>
    <t>15 – Convênios Saúde</t>
  </si>
  <si>
    <t>16 – Convênios Assistência Social</t>
  </si>
  <si>
    <t>17 – Outros Convênios</t>
  </si>
  <si>
    <t>18 – Operações de Crédito Educação</t>
  </si>
  <si>
    <t>19 – Operações de Crédito Saúde</t>
  </si>
  <si>
    <t>20 – Outras Operações de Crédito</t>
  </si>
  <si>
    <t>21 – Outras Fontes</t>
  </si>
  <si>
    <t xml:space="preserve">22 – Contribuições Previdenciárias </t>
  </si>
  <si>
    <t>TOTAL por Fonte de Recurso</t>
  </si>
  <si>
    <t>02 – Impostos e Transferências MDE - Coluna 01</t>
  </si>
  <si>
    <t>02 – Impostos e Transferências MDE - Coluna 02</t>
  </si>
  <si>
    <t>02 – Impostos e Transferências MDE - Coluna 03</t>
  </si>
  <si>
    <t>03 – Impostos e Transferências Saúde - Coluna 01</t>
  </si>
  <si>
    <t>03 – Impostos e Transferências Saúde - Coluna 02</t>
  </si>
  <si>
    <t>03 – Impostos e Transferências Saúde - Coluna 03</t>
  </si>
  <si>
    <t>Resumo por Fonte de Recurso</t>
  </si>
  <si>
    <t>1112.04.10.00</t>
  </si>
  <si>
    <t>IRRF - PESSOAS FÍSICAS</t>
  </si>
  <si>
    <t>1913.15.00.00</t>
  </si>
  <si>
    <t>MULTA PREVISTAS NA LEGISLAÇÃO DE TRÂNSITO</t>
  </si>
  <si>
    <t>1940.00.00.00</t>
  </si>
  <si>
    <t>REC. DECOR. APORTES PERIÓDICOS P/ AMORTIZ. DÉFICIT ATUARIAL RPPS</t>
  </si>
  <si>
    <t>2114.01.00.00</t>
  </si>
  <si>
    <t>2114.02.00.00</t>
  </si>
  <si>
    <t>OP CRED INTERNAS P/PROGS DE EDUCAÇÃO</t>
  </si>
  <si>
    <t>OP CRED INTERNAS P/PROGS DE SAÚDE</t>
  </si>
  <si>
    <t>2119.00.00.00</t>
  </si>
  <si>
    <t xml:space="preserve">OPERAÇÕES DE CREDITO INTERNAS </t>
  </si>
  <si>
    <t>1113.05.01.00</t>
  </si>
  <si>
    <t>1113.05.01.01</t>
  </si>
  <si>
    <t>1113.05.01.02</t>
  </si>
  <si>
    <t>IMPOSTO S/ SERVIÇOS DE QUALQUER NATUEZA</t>
  </si>
  <si>
    <t>IMPOSTO S/ SERVIÇOS DE QUALQUER NATUEZA - ISQN</t>
  </si>
  <si>
    <t>SIMPLES NACIONAL</t>
  </si>
  <si>
    <t>1721.33.99.01</t>
  </si>
  <si>
    <t>UNIDADES BÁSICAS DE SAUDE - UBS</t>
  </si>
  <si>
    <t>1721.35.99.05</t>
  </si>
  <si>
    <t>PNAEM - QUILOMBOLA</t>
  </si>
  <si>
    <t>PROTEÇÃO SOCIAL BÁSICA PARA CRIANÇA E IDOSO</t>
  </si>
  <si>
    <t>1722.99.01.00</t>
  </si>
  <si>
    <t>1722.99.99.00</t>
  </si>
  <si>
    <t>FDS - FUNDO DE DESENVOLVIMENTO SOCIAL</t>
  </si>
  <si>
    <t>1210.29.07.00</t>
  </si>
  <si>
    <t>1210.29.07.01</t>
  </si>
  <si>
    <t>1210.29.07.02</t>
  </si>
  <si>
    <t>1210.29.07.03</t>
  </si>
  <si>
    <t>1210.29.07.04</t>
  </si>
  <si>
    <t>1210.29.07.05</t>
  </si>
  <si>
    <t>1210.29.07.06</t>
  </si>
  <si>
    <t>1210.29.07.99</t>
  </si>
  <si>
    <t xml:space="preserve">1210.29.08.00 </t>
  </si>
  <si>
    <t>1210.29.10.00</t>
  </si>
  <si>
    <t>1210.29.12.00</t>
  </si>
  <si>
    <t>CONTRIBUIÇÃO DE SERVIDOR ATIVO CIVIL - PREFEITURA MUNICIPAL</t>
  </si>
  <si>
    <t>CONTRIBUIÇÃO DE SERVIDOR ATIVO CIVIL - FUNDO MUNICIPAL DE SAÚDE</t>
  </si>
  <si>
    <t>CONTRIBUIÇÃO DE SERVIDOR ATIVO CIVIL - CÂMARA MUNICIPAL</t>
  </si>
  <si>
    <t>CONTRIBUIÇÃO DE SERVIDOR ATIVO CIVIL - RPPS</t>
  </si>
  <si>
    <t>CONTRIBUIÇÃO DE SERVIDOR ATIVO CIVIL - AUTARQUIA</t>
  </si>
  <si>
    <t>CONTRIBUIÇÃO DE SERVIDOR ATIVO CIVIL - PESSOAL CEDIDO</t>
  </si>
  <si>
    <t>CONTRIBUIÇÃO DE SERVIDOR ATIVO CIVIL - OUTROS</t>
  </si>
  <si>
    <t>CONTRIBUIÇÃO DE SERVIDOR ATIVO MILITAR</t>
  </si>
  <si>
    <t>CONTRIBUIÇÕES DE SERVIDOR INATIVO CIVIL</t>
  </si>
  <si>
    <t>CONTRIBUIÇÕES DE SERVIDOR INATIVO MILITAR</t>
  </si>
  <si>
    <t>CONTRIBUIÇÕES DE PENSIONISTA CIVIL</t>
  </si>
  <si>
    <t>CONTRIBUIÇÕES DE PENSIONISTA MILITAR</t>
  </si>
  <si>
    <t>CONTRIBUIÇÃO DE SERVIDOR ATIVO CIVIL</t>
  </si>
  <si>
    <t>1319.00.00.00</t>
  </si>
  <si>
    <t>OUTRAS RECEITAS IMOBILIARIAS</t>
  </si>
  <si>
    <t>1328.10.00.00</t>
  </si>
  <si>
    <t>1328.20.00.00</t>
  </si>
  <si>
    <t>1328.30.00.00</t>
  </si>
  <si>
    <t>REMUNERAÇÃO DOS INVESTIMENTOS EM RENDA FIXA</t>
  </si>
  <si>
    <t>REMUNERAÇÃO DOS INVESTIMENTOS EM RENDA VARIÁVEL</t>
  </si>
  <si>
    <t>REMUNERAÇÃO DOS INVESTIMENTOS EM FUNDOS IMOBILIÁRIOS</t>
  </si>
  <si>
    <t>1912.29.99.00</t>
  </si>
  <si>
    <t>1912.29.99.01</t>
  </si>
  <si>
    <t>MULTAS E JUROS DE MORA DE OUTRAS CONTRIBUIÇÕES</t>
  </si>
  <si>
    <t>MULTAS E JUROS DE MORA DE OUTRAS CONTRIBUIÇÕES - PRINCIPAL</t>
  </si>
  <si>
    <t>MULTAS E JUROS DE MORA DA DÍVIDA ATIVA DE OUTRAS RECEITAS</t>
  </si>
  <si>
    <t>OUTRAS MULTAS E JUROS MORA DÍVIDA ATIVA OUTRAS RECEITAS</t>
  </si>
  <si>
    <t>MULTAS E JUROS DE MORA DE OUTRAS RECEITAS</t>
  </si>
  <si>
    <t>MULTAS E JUROS DE MORA DE ALUGUEL</t>
  </si>
  <si>
    <t>OUTRAS MULTAS E JUROS DE MORA</t>
  </si>
  <si>
    <t>1915.00.00.00</t>
  </si>
  <si>
    <t>1915.99.00.00</t>
  </si>
  <si>
    <t>1915.99.01.00</t>
  </si>
  <si>
    <t>1918.00.00.00</t>
  </si>
  <si>
    <t>1918.01.00.00</t>
  </si>
  <si>
    <t>1918.99.00.00</t>
  </si>
  <si>
    <t>7210.29.01.01</t>
  </si>
  <si>
    <t>7210.29.01.02</t>
  </si>
  <si>
    <t>7210.29.01.03</t>
  </si>
  <si>
    <t>7210.29.01.04</t>
  </si>
  <si>
    <t>7210.29.01.05</t>
  </si>
  <si>
    <t>7210.29.01.06</t>
  </si>
  <si>
    <t>7210.29.01.99</t>
  </si>
  <si>
    <t>7210.29.15.01</t>
  </si>
  <si>
    <t>7210.29.15.02</t>
  </si>
  <si>
    <t>7210.29.15.03</t>
  </si>
  <si>
    <t>7210.29.01.00</t>
  </si>
  <si>
    <t>7210.29.02.00</t>
  </si>
  <si>
    <t>7210.29.03.00</t>
  </si>
  <si>
    <t>7210.29.04.00</t>
  </si>
  <si>
    <t>7210.29.06.00</t>
  </si>
  <si>
    <t>7210.29.13.00</t>
  </si>
  <si>
    <t>7210.29.15.00</t>
  </si>
  <si>
    <t>CONTR PATRONAL SERV ATIVO CIVIL – INTRA-ORÇ</t>
  </si>
  <si>
    <t>CONTR PATRONAL SERV ATIVO CIVIL – INTRA-ORÇ - RPPS</t>
  </si>
  <si>
    <t>CONTR PATRONAL SERV ATIVO CIVIL – INTRA-ORÇ - AUTARQUIA</t>
  </si>
  <si>
    <t>CONTR PATRONAL SERV ATIVO CIVIL – INTRA-ORÇ - PESSOAL CEDIDO</t>
  </si>
  <si>
    <t>CONTR PATRONAL SERV ATIVO CIVIL – INTRA-ORÇ - OUTROS</t>
  </si>
  <si>
    <t>CONT PATRONAL SERV ATIVO MILITAR – INTRA-ORÇAMENTÁRIAS</t>
  </si>
  <si>
    <t>CONTR PATRONAL SERV INATIVO CIVIL – INTRA-ORÇAMENTÁRIAS</t>
  </si>
  <si>
    <t>CONTR PATRONAL SERV INATIVO MILITAR – INTRA-ORÇAMENTÁRIAS</t>
  </si>
  <si>
    <t>CONTR PATRONAL PENSIONISTA CIVIL – INTRA-ORÇAMENTÁRIAS</t>
  </si>
  <si>
    <t>CONTR PATR PENSIONISTA MILITAR – INTRA-ORÇAMENTÁRIAS</t>
  </si>
  <si>
    <t>CONTR PREV P/ AMORTIZAÇÃO DO DÉFICIT ATUARIAL</t>
  </si>
  <si>
    <t>CONTR PREV REGIME DE PARCELAMENTO DE DÉBITOS</t>
  </si>
  <si>
    <t xml:space="preserve">CONTR PREV REGIME DE PARC DE DÉBITOS - PREFEITURA </t>
  </si>
  <si>
    <t>CONTR PREV REGIME DE PARCELAMENTO DE DÉBITOS - FMS</t>
  </si>
  <si>
    <t>CONTR PREV REGIME DE PARCELAMENTO DE DÉBITOS - AUTARQUIA</t>
  </si>
  <si>
    <t xml:space="preserve">CONTR PATRONAL SERV ATIVO CIVIL – INTRA-ORÇ - PREFEITURA </t>
  </si>
  <si>
    <t>CONTR PATRONAL SERV ATIVO CIVIL – INTRA-ORÇ - FMS</t>
  </si>
  <si>
    <t xml:space="preserve">CONTR PATRONAL SERV ATIVO CIVIL – INTRA-ORÇ - CÂMARA </t>
  </si>
  <si>
    <t xml:space="preserve">1520.99.00.00 </t>
  </si>
  <si>
    <t>OUTRAS RECEITAS DA INDUSTRIA DE TRANSFORMAÇÃO</t>
  </si>
  <si>
    <t>1721.22.11.00</t>
  </si>
  <si>
    <t>COTA-PARTE COMPENSAÇÃO FINANCEIRA RECURSOS HIDRICOS</t>
  </si>
  <si>
    <t>1210.30.00.00</t>
  </si>
  <si>
    <t>1210.30.99.00</t>
  </si>
  <si>
    <t>OUTRAS CONTRIBUIÇÕES PREVIDENCIARIAS</t>
  </si>
  <si>
    <t>1921.99.01.00</t>
  </si>
  <si>
    <t>1921.99.02.00</t>
  </si>
  <si>
    <t>1921.99.03.00</t>
  </si>
  <si>
    <t>1921.99.04.00</t>
  </si>
  <si>
    <t>1921.99.05.00</t>
  </si>
  <si>
    <t>1921.99.06.00</t>
  </si>
  <si>
    <t>OUTRAS INDENIZACOES (PM)</t>
  </si>
  <si>
    <t>OUTRAS INDENIZACOES (FMS)</t>
  </si>
  <si>
    <t>OUTRAS INDENIZACOES (FMAS)</t>
  </si>
  <si>
    <t>OUTRAS INDENIZACOES (FUNDECA)</t>
  </si>
  <si>
    <t>OUTRAS INDENIZACOES (AUTARQUIAS)</t>
  </si>
  <si>
    <t>OUTRAS INDENIZACOES (RPPS)</t>
  </si>
  <si>
    <t>1210.30.18.00</t>
  </si>
  <si>
    <t>CONTRIBUIÇÕES PREVIDENCIARIAS AO RGPS</t>
  </si>
  <si>
    <t>ARRECADAÇÃO FIES - CERT FINANCEIRO DO TESOURO NACIONAL</t>
  </si>
  <si>
    <t>ARREC FIES - CERT FIN TESOURO NAC</t>
  </si>
  <si>
    <t>1600.16.06.01</t>
  </si>
  <si>
    <t>SERVIÇOS DE EXPEDIÇÃO DE CERTIFICADOS</t>
  </si>
  <si>
    <t>TRANSF CONV DA UNIAO PROGS EDUCAÇÃO - PREFEITURA</t>
  </si>
  <si>
    <t>TRANSF CONV DA UNIAO PROGS EDUCAÇÃO - AUTARQUIA</t>
  </si>
  <si>
    <t>2471.02.01.00</t>
  </si>
  <si>
    <t>2471.02.02.00</t>
  </si>
  <si>
    <t xml:space="preserve">Autarq </t>
  </si>
  <si>
    <t>TRANSF CONV UNIAO PROGS EDUC - AUTARQ</t>
  </si>
  <si>
    <t>REC.REM.DEP.BANC.REC.VINC- CONVENIOS DE SAÚDE</t>
  </si>
  <si>
    <t>REC.REM.DEP.REC.VINC- CONV SAÚDE</t>
  </si>
  <si>
    <t xml:space="preserve"> 1325.01.04.00</t>
  </si>
  <si>
    <t>1325.01.11.00</t>
  </si>
  <si>
    <t>REC.REM.DEP.BANC.REC.VINC-CONVENIOS PREFEITURA</t>
  </si>
  <si>
    <t>2472.02.01.00</t>
  </si>
  <si>
    <t>2472.02.99.00</t>
  </si>
  <si>
    <t>TRANSF CONV EST DEST A PROGS EDUCAÇÃO - AUTARQUIA</t>
  </si>
  <si>
    <t>TRANSF CONV EST DEST A PROGS EDUCAÇÃO - PREFEITURA</t>
  </si>
  <si>
    <t>OUTRAS RECEITAS - AUTARQUIA</t>
  </si>
  <si>
    <t>OUTRAS RECEITAS - PREFEITURA</t>
  </si>
  <si>
    <t>1990.99.01.00</t>
  </si>
  <si>
    <t>1990.99.99.00</t>
  </si>
  <si>
    <t>RECEITA DIVIDA ATIVA DE OUTROS TRIBUTOS - AUTARQUIA</t>
  </si>
  <si>
    <t>RECEITA DIVIDA ATIVA DE OUTROS TRIBUTOS - PREFEITURA</t>
  </si>
  <si>
    <t>1931.99.01.00</t>
  </si>
  <si>
    <t>1931.99.99.00</t>
  </si>
  <si>
    <t>1911.99.00.01</t>
  </si>
  <si>
    <t>1911.99.00.02</t>
  </si>
  <si>
    <t>MULTA JUROS MORA DE OUTROS TRIBUTOS - AUTARQUIA</t>
  </si>
  <si>
    <t>MULTA JUROS MORA DE OUTROS TRIBUTOS - PREFEITURA</t>
  </si>
  <si>
    <t>1722.99.99.01</t>
  </si>
  <si>
    <t>1722.99.99.99</t>
  </si>
  <si>
    <t>OUTRAS TRANSF DOS ESTADOS - AUTARQUIA</t>
  </si>
  <si>
    <t>OUTRAS TRANSF DOS ESTADOS - PREFEITURA</t>
  </si>
  <si>
    <t>ALUGUEIS - AUTARQUIA</t>
  </si>
  <si>
    <t>ALUGUEIS - PREFEITURA</t>
  </si>
  <si>
    <t>1311.01.00.00</t>
  </si>
  <si>
    <t>OUTRAS TAXAS P/PRESTACAO DE SERVIÇOS - AUTARQUIA</t>
  </si>
  <si>
    <t>OUTRAS TAXAS P/PRESTACAO DE SERVIÇOS - PREFEITURA</t>
  </si>
  <si>
    <t>1122.99.01.00</t>
  </si>
  <si>
    <t>1122.99.99.00</t>
  </si>
  <si>
    <t>Receita Arrecadada no 1º Semestre de 2011</t>
  </si>
  <si>
    <t>Receita Projetada para 2011</t>
  </si>
  <si>
    <t>Previsão da Receita para 2012 (LDO)</t>
  </si>
  <si>
    <t>Atenção! Esse comando "Limpar" exclui dados inseridos na planilha referente a receita do primeiro semestre do ano corrente.</t>
  </si>
  <si>
    <t>1210.29.17.00</t>
  </si>
  <si>
    <t>RECOLHIMENTO CONTRIBUIÇÃO SERVIDOR ATIVO, PAGTO SENT JUDICIAIS</t>
  </si>
  <si>
    <t>1721.33.30.02</t>
  </si>
  <si>
    <t>7210.29.16.00</t>
  </si>
  <si>
    <t>CONTR PATRONAL DE EXERCICIOS ANTERIORES</t>
  </si>
  <si>
    <t>(-) DEDUÇÕES DAS DESP. P/FINS DE LIMITE CONSTITUCIONAL</t>
  </si>
  <si>
    <t>CADASTRO DE SUB FUNÇÕES</t>
  </si>
  <si>
    <t xml:space="preserve"> 12.122  ADMINISTRAÇÃO GERAL</t>
  </si>
  <si>
    <t xml:space="preserve"> 12.131  COMUNICAÇÃO SOCIAL</t>
  </si>
  <si>
    <t xml:space="preserve"> 12.243  ASSISTÊNCIA À CRIANÇA E AO ADOLESCENTE</t>
  </si>
  <si>
    <t xml:space="preserve"> 12.306  ALIMENTAÇÃO E NUTRIÇÃO</t>
  </si>
  <si>
    <t xml:space="preserve"> 12.361  ENSINO FUNDAMENTAL</t>
  </si>
  <si>
    <t xml:space="preserve"> 12.362  ENSINO MÉDIO</t>
  </si>
  <si>
    <t xml:space="preserve"> 12.363  ENSINO PROFISSIONAL</t>
  </si>
  <si>
    <t xml:space="preserve"> 12.364  ENSINO SUPERIOR</t>
  </si>
  <si>
    <t xml:space="preserve"> 12.365  EDUCAÇÃO INFANTIL</t>
  </si>
  <si>
    <t xml:space="preserve"> 12.366  EDUCAÇÃO DE JOVENS E ADULTOS</t>
  </si>
  <si>
    <t xml:space="preserve"> 12.367  EDUCAÇÃO ESPECIAL</t>
  </si>
  <si>
    <t xml:space="preserve"> 12.368  EDUCAÇÃO BÁSICA</t>
  </si>
  <si>
    <t>seguintes subfunções:</t>
  </si>
  <si>
    <t>PREENCHER A NOTA EXPLICATIVA ACIMA</t>
  </si>
  <si>
    <t>DESPESA DESTINADA  À RESERVA DE CONTINGÊNCIA</t>
  </si>
  <si>
    <t>DEMONSTRATIVO DOS RECURSOS DESTINADOS À CRIANÇA E AO ADOLESCENTE E À RESERVA DE CONTINGÊNCIA</t>
  </si>
  <si>
    <t>Nota: No total de deduções das despesas p/fins de limite constitucional, estão consideradas as somas das</t>
  </si>
  <si>
    <t>PLANILHA DE ESTUDO E ESTIMATIVA DE RECEITA 2012</t>
  </si>
  <si>
    <t>1210.29.20.00</t>
  </si>
  <si>
    <t>EXERCÍCIO ANTERIOR - CONTRIBUIÇÃO SERVIDOR</t>
  </si>
  <si>
    <t>REGIME PRÓPRIO DE PREVIDÊNCIA</t>
  </si>
  <si>
    <t>PLANILHA DE ESTUDO E ESTIMATIVA DE RECEITA - EXERCÍCIO DE</t>
  </si>
  <si>
    <t xml:space="preserve"> FUNDO MUNICIPAL DE SAÚDE</t>
  </si>
  <si>
    <t xml:space="preserve"> FUNDO MUNICIPAL DE ASSISTÊNCIA SOCIAL</t>
  </si>
  <si>
    <t xml:space="preserve"> FUNDECA</t>
  </si>
  <si>
    <t>AUTARQUIA EDUCACIONAL</t>
  </si>
  <si>
    <t>1311.99.00.00</t>
  </si>
  <si>
    <t>REC.REM.DEP.BANC.REC.VINC-MDE</t>
  </si>
  <si>
    <t>1º Sem 2011</t>
  </si>
  <si>
    <t>Projetada 2011</t>
  </si>
  <si>
    <t>Prevista p/ 2012</t>
  </si>
  <si>
    <t>MUNICÍPIO DE CHÃ GRANDE</t>
  </si>
  <si>
    <t>INDENIZAÇÕES E RESTITUIÇÕES - INTRAORÇAMENTÁRIAS</t>
  </si>
  <si>
    <t>7920.00.00.00</t>
  </si>
  <si>
    <t>INDENIZAÇÕES E RESTITUIÇÕES - INTRA-ORÇAMENTÁRIAS</t>
  </si>
  <si>
    <t>PLANILHA DE ESTUDO E ESTIMATIVA DE RECEITA - 2012</t>
  </si>
  <si>
    <t xml:space="preserve"> </t>
  </si>
  <si>
    <t>ALIMENTAÇÃO E NUTRIÇÃO</t>
  </si>
  <si>
    <t>TECNOLOGIA DA INFORMAÇÃO</t>
  </si>
  <si>
    <t>FORMAÇÃO DE RECURSOS HUMANOS</t>
  </si>
  <si>
    <t xml:space="preserve"> 12.361  ENSINO FUNDAMENTAL,  12.365  EDUCAÇÃO INFANTIL, 12.366  EDUCAÇÃO DE JOVENS E ADULTOS E 12.367  EDUCAÇÃO ESPECIAL.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</si>
</sst>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_(* #,##0.0000_);_(* \(#,##0.0000\);_(* &quot;-&quot;????_);_(@_)"/>
    <numFmt numFmtId="182" formatCode="[$€-2]\ #,##0.00_);[Red]\([$€-2]\ #,##0.00\)"/>
    <numFmt numFmtId="183" formatCode="_(* #,##0.000_);_(* \(#,##0.000\);_(* &quot;-&quot;????_);_(@_)"/>
    <numFmt numFmtId="184" formatCode="_(* #,##0.00_);_(* \(#,##0.00\);_(* &quot;-&quot;????_);_(@_)"/>
    <numFmt numFmtId="185" formatCode="0.0%"/>
    <numFmt numFmtId="186" formatCode="_(* #,##0.000_);_(* \(#,##0.000\);_(* &quot;-&quot;??_);_(@_)"/>
    <numFmt numFmtId="187" formatCode="#,##0.000"/>
    <numFmt numFmtId="188" formatCode="#,##0.0000"/>
    <numFmt numFmtId="189" formatCode="#,##0.0"/>
    <numFmt numFmtId="190" formatCode="[$-416]dddd\,\ d&quot; de &quot;mmmm&quot; de &quot;yyyy"/>
    <numFmt numFmtId="191" formatCode="00000"/>
    <numFmt numFmtId="192" formatCode="_(* #,##0.0000_);_(* \(#,##0.0000\);_(* &quot;-&quot;??_);_(@_)"/>
    <numFmt numFmtId="193" formatCode="_(* #,##0.0_);_(* \(#,##0.0\);_(* &quot;-&quot;??_);_(@_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10"/>
      <name val="Calibri"/>
      <family val="2"/>
    </font>
    <font>
      <sz val="11"/>
      <name val="Times New Roman"/>
      <family val="1"/>
    </font>
    <font>
      <b/>
      <sz val="14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13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u val="single"/>
      <sz val="14"/>
      <color indexed="13"/>
      <name val="Calibri"/>
      <family val="2"/>
    </font>
    <font>
      <b/>
      <sz val="12"/>
      <color indexed="13"/>
      <name val="Calibri"/>
      <family val="2"/>
    </font>
    <font>
      <b/>
      <sz val="10"/>
      <color indexed="10"/>
      <name val="Arial"/>
      <family val="2"/>
    </font>
    <font>
      <b/>
      <sz val="18"/>
      <color indexed="8"/>
      <name val="Calibri"/>
      <family val="0"/>
    </font>
    <font>
      <b/>
      <sz val="8"/>
      <color indexed="8"/>
      <name val="Calibri"/>
      <family val="0"/>
    </font>
    <font>
      <sz val="18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sz val="10"/>
      <color rgb="FFFFFF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u val="single"/>
      <sz val="14"/>
      <color rgb="FFFFFF00"/>
      <name val="Calibri"/>
      <family val="2"/>
    </font>
    <font>
      <b/>
      <sz val="12"/>
      <color rgb="FFFFFF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medium"/>
      <top style="hair"/>
      <bottom style="thick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744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171" fontId="4" fillId="0" borderId="10" xfId="54" applyNumberFormat="1" applyFont="1" applyBorder="1" applyAlignment="1" applyProtection="1">
      <alignment/>
      <protection hidden="1"/>
    </xf>
    <xf numFmtId="171" fontId="4" fillId="0" borderId="10" xfId="54" applyFont="1" applyBorder="1" applyAlignment="1" applyProtection="1">
      <alignment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171" fontId="5" fillId="33" borderId="11" xfId="54" applyFont="1" applyFill="1" applyBorder="1" applyAlignment="1" applyProtection="1">
      <alignment horizontal="center" vertical="center" wrapText="1"/>
      <protection hidden="1"/>
    </xf>
    <xf numFmtId="171" fontId="5" fillId="33" borderId="13" xfId="54" applyFont="1" applyFill="1" applyBorder="1" applyAlignment="1" applyProtection="1">
      <alignment horizontal="center" vertical="center" wrapText="1"/>
      <protection hidden="1"/>
    </xf>
    <xf numFmtId="171" fontId="5" fillId="34" borderId="12" xfId="54" applyFont="1" applyFill="1" applyBorder="1" applyAlignment="1" applyProtection="1">
      <alignment horizontal="center" vertical="center" wrapText="1"/>
      <protection hidden="1"/>
    </xf>
    <xf numFmtId="171" fontId="5" fillId="0" borderId="14" xfId="54" applyNumberFormat="1" applyFont="1" applyBorder="1" applyAlignment="1" applyProtection="1">
      <alignment/>
      <protection hidden="1"/>
    </xf>
    <xf numFmtId="171" fontId="4" fillId="0" borderId="15" xfId="54" applyFont="1" applyBorder="1" applyAlignment="1" applyProtection="1">
      <alignment/>
      <protection hidden="1"/>
    </xf>
    <xf numFmtId="171" fontId="4" fillId="0" borderId="16" xfId="54" applyFont="1" applyBorder="1" applyAlignment="1" applyProtection="1">
      <alignment/>
      <protection hidden="1"/>
    </xf>
    <xf numFmtId="171" fontId="4" fillId="0" borderId="0" xfId="0" applyNumberFormat="1" applyFont="1" applyAlignment="1" applyProtection="1">
      <alignment/>
      <protection hidden="1"/>
    </xf>
    <xf numFmtId="171" fontId="4" fillId="0" borderId="0" xfId="0" applyNumberFormat="1" applyFont="1" applyFill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right"/>
      <protection hidden="1"/>
    </xf>
    <xf numFmtId="171" fontId="5" fillId="0" borderId="20" xfId="54" applyNumberFormat="1" applyFont="1" applyFill="1" applyBorder="1" applyAlignment="1" applyProtection="1">
      <alignment vertical="center"/>
      <protection hidden="1"/>
    </xf>
    <xf numFmtId="171" fontId="5" fillId="0" borderId="12" xfId="54" applyNumberFormat="1" applyFont="1" applyFill="1" applyBorder="1" applyAlignment="1" applyProtection="1">
      <alignment vertical="center"/>
      <protection hidden="1"/>
    </xf>
    <xf numFmtId="171" fontId="4" fillId="0" borderId="0" xfId="54" applyNumberFormat="1" applyFont="1" applyAlignment="1" applyProtection="1">
      <alignment/>
      <protection hidden="1"/>
    </xf>
    <xf numFmtId="171" fontId="4" fillId="0" borderId="0" xfId="54" applyFont="1" applyAlignment="1" applyProtection="1">
      <alignment/>
      <protection hidden="1"/>
    </xf>
    <xf numFmtId="171" fontId="4" fillId="0" borderId="0" xfId="54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21" xfId="0" applyFont="1" applyBorder="1" applyAlignment="1" applyProtection="1">
      <alignment/>
      <protection hidden="1"/>
    </xf>
    <xf numFmtId="0" fontId="4" fillId="0" borderId="22" xfId="0" applyFont="1" applyBorder="1" applyAlignment="1" applyProtection="1">
      <alignment/>
      <protection hidden="1"/>
    </xf>
    <xf numFmtId="171" fontId="5" fillId="0" borderId="14" xfId="54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/>
      <protection hidden="1"/>
    </xf>
    <xf numFmtId="171" fontId="4" fillId="0" borderId="17" xfId="54" applyFont="1" applyFill="1" applyBorder="1" applyAlignment="1" applyProtection="1">
      <alignment/>
      <protection hidden="1"/>
    </xf>
    <xf numFmtId="171" fontId="4" fillId="0" borderId="18" xfId="54" applyFont="1" applyFill="1" applyBorder="1" applyAlignment="1" applyProtection="1">
      <alignment/>
      <protection hidden="1"/>
    </xf>
    <xf numFmtId="171" fontId="4" fillId="0" borderId="19" xfId="54" applyFont="1" applyFill="1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 horizontal="right" shrinkToFit="1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/>
      <protection hidden="1"/>
    </xf>
    <xf numFmtId="171" fontId="4" fillId="35" borderId="17" xfId="54" applyFont="1" applyFill="1" applyBorder="1" applyAlignment="1" applyProtection="1">
      <alignment/>
      <protection locked="0"/>
    </xf>
    <xf numFmtId="171" fontId="4" fillId="35" borderId="19" xfId="54" applyFont="1" applyFill="1" applyBorder="1" applyAlignment="1" applyProtection="1">
      <alignment/>
      <protection locked="0"/>
    </xf>
    <xf numFmtId="171" fontId="4" fillId="34" borderId="17" xfId="54" applyFont="1" applyFill="1" applyBorder="1" applyAlignment="1" applyProtection="1">
      <alignment/>
      <protection locked="0"/>
    </xf>
    <xf numFmtId="171" fontId="4" fillId="34" borderId="19" xfId="54" applyFont="1" applyFill="1" applyBorder="1" applyAlignment="1" applyProtection="1">
      <alignment/>
      <protection locked="0"/>
    </xf>
    <xf numFmtId="171" fontId="4" fillId="36" borderId="17" xfId="54" applyFont="1" applyFill="1" applyBorder="1" applyAlignment="1" applyProtection="1">
      <alignment/>
      <protection locked="0"/>
    </xf>
    <xf numFmtId="171" fontId="4" fillId="36" borderId="19" xfId="54" applyFont="1" applyFill="1" applyBorder="1" applyAlignment="1" applyProtection="1">
      <alignment/>
      <protection locked="0"/>
    </xf>
    <xf numFmtId="171" fontId="4" fillId="37" borderId="17" xfId="54" applyFont="1" applyFill="1" applyBorder="1" applyAlignment="1" applyProtection="1">
      <alignment/>
      <protection locked="0"/>
    </xf>
    <xf numFmtId="171" fontId="4" fillId="37" borderId="19" xfId="54" applyFont="1" applyFill="1" applyBorder="1" applyAlignment="1" applyProtection="1">
      <alignment/>
      <protection locked="0"/>
    </xf>
    <xf numFmtId="171" fontId="4" fillId="38" borderId="17" xfId="54" applyFont="1" applyFill="1" applyBorder="1" applyAlignment="1" applyProtection="1">
      <alignment/>
      <protection locked="0"/>
    </xf>
    <xf numFmtId="171" fontId="4" fillId="38" borderId="19" xfId="54" applyFont="1" applyFill="1" applyBorder="1" applyAlignment="1" applyProtection="1">
      <alignment/>
      <protection locked="0"/>
    </xf>
    <xf numFmtId="171" fontId="4" fillId="39" borderId="17" xfId="54" applyFont="1" applyFill="1" applyBorder="1" applyAlignment="1" applyProtection="1">
      <alignment/>
      <protection locked="0"/>
    </xf>
    <xf numFmtId="171" fontId="4" fillId="39" borderId="19" xfId="54" applyFont="1" applyFill="1" applyBorder="1" applyAlignment="1" applyProtection="1">
      <alignment/>
      <protection locked="0"/>
    </xf>
    <xf numFmtId="171" fontId="4" fillId="0" borderId="19" xfId="54" applyFont="1" applyFill="1" applyBorder="1" applyAlignment="1" applyProtection="1">
      <alignment/>
      <protection locked="0"/>
    </xf>
    <xf numFmtId="171" fontId="4" fillId="0" borderId="23" xfId="54" applyFont="1" applyFill="1" applyBorder="1" applyAlignment="1" applyProtection="1">
      <alignment/>
      <protection hidden="1"/>
    </xf>
    <xf numFmtId="0" fontId="4" fillId="0" borderId="24" xfId="0" applyFont="1" applyFill="1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alignment/>
      <protection hidden="1"/>
    </xf>
    <xf numFmtId="171" fontId="4" fillId="35" borderId="26" xfId="54" applyFont="1" applyFill="1" applyBorder="1" applyAlignment="1" applyProtection="1">
      <alignment/>
      <protection locked="0"/>
    </xf>
    <xf numFmtId="171" fontId="4" fillId="0" borderId="24" xfId="54" applyFont="1" applyFill="1" applyBorder="1" applyAlignment="1" applyProtection="1">
      <alignment/>
      <protection hidden="1"/>
    </xf>
    <xf numFmtId="171" fontId="4" fillId="0" borderId="15" xfId="54" applyFont="1" applyFill="1" applyBorder="1" applyAlignment="1" applyProtection="1">
      <alignment/>
      <protection hidden="1"/>
    </xf>
    <xf numFmtId="171" fontId="4" fillId="0" borderId="16" xfId="54" applyFont="1" applyFill="1" applyBorder="1" applyAlignment="1" applyProtection="1">
      <alignment/>
      <protection hidden="1"/>
    </xf>
    <xf numFmtId="0" fontId="4" fillId="0" borderId="27" xfId="0" applyFont="1" applyBorder="1" applyAlignment="1" applyProtection="1">
      <alignment/>
      <protection hidden="1"/>
    </xf>
    <xf numFmtId="171" fontId="5" fillId="0" borderId="28" xfId="54" applyFont="1" applyFill="1" applyBorder="1" applyAlignment="1" applyProtection="1">
      <alignment vertical="center"/>
      <protection hidden="1"/>
    </xf>
    <xf numFmtId="171" fontId="5" fillId="0" borderId="29" xfId="54" applyFont="1" applyFill="1" applyBorder="1" applyAlignment="1" applyProtection="1">
      <alignment vertical="center"/>
      <protection hidden="1"/>
    </xf>
    <xf numFmtId="0" fontId="5" fillId="33" borderId="30" xfId="0" applyFont="1" applyFill="1" applyBorder="1" applyAlignment="1" applyProtection="1">
      <alignment horizontal="center" vertical="center" textRotation="90" wrapText="1"/>
      <protection hidden="1"/>
    </xf>
    <xf numFmtId="0" fontId="4" fillId="0" borderId="31" xfId="0" applyFont="1" applyBorder="1" applyAlignment="1" applyProtection="1">
      <alignment/>
      <protection hidden="1"/>
    </xf>
    <xf numFmtId="171" fontId="5" fillId="0" borderId="15" xfId="54" applyFont="1" applyFill="1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/>
      <protection hidden="1"/>
    </xf>
    <xf numFmtId="171" fontId="4" fillId="0" borderId="18" xfId="0" applyNumberFormat="1" applyFont="1" applyFill="1" applyBorder="1" applyAlignment="1" applyProtection="1">
      <alignment/>
      <protection hidden="1"/>
    </xf>
    <xf numFmtId="171" fontId="4" fillId="0" borderId="19" xfId="0" applyNumberFormat="1" applyFont="1" applyFill="1" applyBorder="1" applyAlignment="1" applyProtection="1">
      <alignment/>
      <protection hidden="1"/>
    </xf>
    <xf numFmtId="0" fontId="4" fillId="0" borderId="32" xfId="0" applyFont="1" applyFill="1" applyBorder="1" applyAlignment="1" applyProtection="1">
      <alignment/>
      <protection hidden="1"/>
    </xf>
    <xf numFmtId="0" fontId="4" fillId="0" borderId="33" xfId="0" applyFont="1" applyFill="1" applyBorder="1" applyAlignment="1" applyProtection="1">
      <alignment horizontal="center"/>
      <protection hidden="1"/>
    </xf>
    <xf numFmtId="0" fontId="4" fillId="0" borderId="33" xfId="0" applyFont="1" applyFill="1" applyBorder="1" applyAlignment="1" applyProtection="1">
      <alignment/>
      <protection hidden="1"/>
    </xf>
    <xf numFmtId="0" fontId="4" fillId="0" borderId="34" xfId="0" applyFont="1" applyFill="1" applyBorder="1" applyAlignment="1" applyProtection="1">
      <alignment/>
      <protection hidden="1"/>
    </xf>
    <xf numFmtId="0" fontId="4" fillId="0" borderId="31" xfId="0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4" fillId="0" borderId="36" xfId="0" applyFont="1" applyBorder="1" applyAlignment="1" applyProtection="1">
      <alignment/>
      <protection hidden="1"/>
    </xf>
    <xf numFmtId="171" fontId="4" fillId="0" borderId="36" xfId="0" applyNumberFormat="1" applyFont="1" applyBorder="1" applyAlignment="1" applyProtection="1">
      <alignment/>
      <protection hidden="1"/>
    </xf>
    <xf numFmtId="0" fontId="4" fillId="0" borderId="37" xfId="0" applyFont="1" applyBorder="1" applyAlignment="1" applyProtection="1">
      <alignment/>
      <protection hidden="1"/>
    </xf>
    <xf numFmtId="171" fontId="5" fillId="0" borderId="11" xfId="54" applyFont="1" applyFill="1" applyBorder="1" applyAlignment="1" applyProtection="1">
      <alignment vertical="center"/>
      <protection hidden="1"/>
    </xf>
    <xf numFmtId="171" fontId="5" fillId="0" borderId="12" xfId="54" applyFont="1" applyFill="1" applyBorder="1" applyAlignment="1" applyProtection="1">
      <alignment vertical="center"/>
      <protection hidden="1"/>
    </xf>
    <xf numFmtId="0" fontId="4" fillId="0" borderId="38" xfId="0" applyFont="1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 horizontal="right"/>
      <protection hidden="1"/>
    </xf>
    <xf numFmtId="0" fontId="4" fillId="0" borderId="38" xfId="0" applyFont="1" applyFill="1" applyBorder="1" applyAlignment="1" applyProtection="1">
      <alignment/>
      <protection hidden="1"/>
    </xf>
    <xf numFmtId="171" fontId="4" fillId="0" borderId="36" xfId="54" applyFont="1" applyFill="1" applyBorder="1" applyAlignment="1" applyProtection="1">
      <alignment/>
      <protection hidden="1"/>
    </xf>
    <xf numFmtId="0" fontId="4" fillId="0" borderId="26" xfId="0" applyFont="1" applyFill="1" applyBorder="1" applyAlignment="1" applyProtection="1">
      <alignment horizontal="right"/>
      <protection hidden="1"/>
    </xf>
    <xf numFmtId="0" fontId="4" fillId="0" borderId="39" xfId="0" applyFont="1" applyFill="1" applyBorder="1" applyAlignment="1" applyProtection="1">
      <alignment/>
      <protection hidden="1"/>
    </xf>
    <xf numFmtId="171" fontId="4" fillId="0" borderId="26" xfId="54" applyFont="1" applyFill="1" applyBorder="1" applyAlignment="1" applyProtection="1">
      <alignment/>
      <protection hidden="1"/>
    </xf>
    <xf numFmtId="171" fontId="4" fillId="0" borderId="25" xfId="54" applyFont="1" applyFill="1" applyBorder="1" applyAlignment="1" applyProtection="1">
      <alignment/>
      <protection hidden="1"/>
    </xf>
    <xf numFmtId="171" fontId="5" fillId="0" borderId="40" xfId="54" applyFont="1" applyBorder="1" applyAlignment="1" applyProtection="1">
      <alignment/>
      <protection hidden="1"/>
    </xf>
    <xf numFmtId="171" fontId="4" fillId="0" borderId="35" xfId="54" applyFont="1" applyBorder="1" applyAlignment="1" applyProtection="1">
      <alignment/>
      <protection hidden="1"/>
    </xf>
    <xf numFmtId="171" fontId="4" fillId="0" borderId="38" xfId="54" applyFont="1" applyFill="1" applyBorder="1" applyAlignment="1" applyProtection="1">
      <alignment/>
      <protection hidden="1"/>
    </xf>
    <xf numFmtId="171" fontId="4" fillId="0" borderId="23" xfId="0" applyNumberFormat="1" applyFont="1" applyFill="1" applyBorder="1" applyAlignment="1" applyProtection="1">
      <alignment/>
      <protection hidden="1"/>
    </xf>
    <xf numFmtId="171" fontId="4" fillId="0" borderId="41" xfId="54" applyFont="1" applyFill="1" applyBorder="1" applyAlignment="1" applyProtection="1">
      <alignment/>
      <protection hidden="1"/>
    </xf>
    <xf numFmtId="171" fontId="4" fillId="0" borderId="17" xfId="54" applyNumberFormat="1" applyFont="1" applyFill="1" applyBorder="1" applyAlignment="1" applyProtection="1">
      <alignment/>
      <protection hidden="1"/>
    </xf>
    <xf numFmtId="171" fontId="4" fillId="0" borderId="18" xfId="54" applyNumberFormat="1" applyFont="1" applyFill="1" applyBorder="1" applyAlignment="1" applyProtection="1">
      <alignment/>
      <protection hidden="1"/>
    </xf>
    <xf numFmtId="171" fontId="4" fillId="0" borderId="19" xfId="54" applyNumberFormat="1" applyFont="1" applyFill="1" applyBorder="1" applyAlignment="1" applyProtection="1">
      <alignment/>
      <protection hidden="1"/>
    </xf>
    <xf numFmtId="171" fontId="4" fillId="0" borderId="42" xfId="54" applyNumberFormat="1" applyFont="1" applyFill="1" applyBorder="1" applyAlignment="1" applyProtection="1">
      <alignment/>
      <protection hidden="1"/>
    </xf>
    <xf numFmtId="171" fontId="4" fillId="0" borderId="17" xfId="54" applyNumberFormat="1" applyFont="1" applyFill="1" applyBorder="1" applyAlignment="1" applyProtection="1">
      <alignment horizontal="right"/>
      <protection hidden="1"/>
    </xf>
    <xf numFmtId="171" fontId="4" fillId="0" borderId="18" xfId="54" applyNumberFormat="1" applyFont="1" applyFill="1" applyBorder="1" applyAlignment="1" applyProtection="1">
      <alignment horizontal="right"/>
      <protection hidden="1"/>
    </xf>
    <xf numFmtId="171" fontId="4" fillId="0" borderId="19" xfId="54" applyNumberFormat="1" applyFont="1" applyFill="1" applyBorder="1" applyAlignment="1" applyProtection="1">
      <alignment horizontal="right"/>
      <protection hidden="1"/>
    </xf>
    <xf numFmtId="171" fontId="4" fillId="0" borderId="17" xfId="0" applyNumberFormat="1" applyFont="1" applyFill="1" applyBorder="1" applyAlignment="1" applyProtection="1">
      <alignment horizontal="right"/>
      <protection hidden="1"/>
    </xf>
    <xf numFmtId="171" fontId="4" fillId="0" borderId="18" xfId="0" applyNumberFormat="1" applyFont="1" applyFill="1" applyBorder="1" applyAlignment="1" applyProtection="1">
      <alignment horizontal="right"/>
      <protection hidden="1"/>
    </xf>
    <xf numFmtId="171" fontId="4" fillId="0" borderId="19" xfId="0" applyNumberFormat="1" applyFont="1" applyFill="1" applyBorder="1" applyAlignment="1" applyProtection="1">
      <alignment horizontal="right"/>
      <protection hidden="1"/>
    </xf>
    <xf numFmtId="0" fontId="4" fillId="0" borderId="43" xfId="0" applyFont="1" applyFill="1" applyBorder="1" applyAlignment="1" applyProtection="1">
      <alignment/>
      <protection hidden="1"/>
    </xf>
    <xf numFmtId="0" fontId="4" fillId="0" borderId="3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36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4" fontId="10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4" fontId="9" fillId="0" borderId="0" xfId="0" applyNumberFormat="1" applyFont="1" applyFill="1" applyBorder="1" applyAlignment="1" applyProtection="1">
      <alignment/>
      <protection hidden="1"/>
    </xf>
    <xf numFmtId="4" fontId="10" fillId="0" borderId="10" xfId="0" applyNumberFormat="1" applyFont="1" applyFill="1" applyBorder="1" applyAlignment="1" applyProtection="1">
      <alignment/>
      <protection hidden="1"/>
    </xf>
    <xf numFmtId="4" fontId="10" fillId="0" borderId="44" xfId="0" applyNumberFormat="1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/>
      <protection hidden="1"/>
    </xf>
    <xf numFmtId="4" fontId="10" fillId="0" borderId="0" xfId="0" applyNumberFormat="1" applyFont="1" applyFill="1" applyBorder="1" applyAlignment="1" applyProtection="1">
      <alignment vertical="center"/>
      <protection hidden="1"/>
    </xf>
    <xf numFmtId="4" fontId="9" fillId="0" borderId="0" xfId="0" applyNumberFormat="1" applyFont="1" applyFill="1" applyBorder="1" applyAlignment="1" applyProtection="1">
      <alignment vertical="center"/>
      <protection hidden="1"/>
    </xf>
    <xf numFmtId="0" fontId="4" fillId="0" borderId="45" xfId="0" applyFont="1" applyFill="1" applyBorder="1" applyAlignment="1" applyProtection="1">
      <alignment/>
      <protection hidden="1"/>
    </xf>
    <xf numFmtId="0" fontId="9" fillId="0" borderId="46" xfId="0" applyFont="1" applyFill="1" applyBorder="1" applyAlignment="1" applyProtection="1">
      <alignment horizontal="center"/>
      <protection hidden="1"/>
    </xf>
    <xf numFmtId="0" fontId="9" fillId="0" borderId="47" xfId="0" applyFont="1" applyFill="1" applyBorder="1" applyAlignment="1" applyProtection="1">
      <alignment horizontal="center"/>
      <protection hidden="1"/>
    </xf>
    <xf numFmtId="0" fontId="9" fillId="0" borderId="48" xfId="0" applyFont="1" applyFill="1" applyBorder="1" applyAlignment="1" applyProtection="1">
      <alignment horizontal="center"/>
      <protection hidden="1"/>
    </xf>
    <xf numFmtId="0" fontId="10" fillId="0" borderId="27" xfId="0" applyFont="1" applyFill="1" applyBorder="1" applyAlignment="1" applyProtection="1">
      <alignment/>
      <protection hidden="1"/>
    </xf>
    <xf numFmtId="0" fontId="10" fillId="0" borderId="10" xfId="0" applyFont="1" applyFill="1" applyBorder="1" applyAlignment="1" applyProtection="1">
      <alignment/>
      <protection hidden="1"/>
    </xf>
    <xf numFmtId="0" fontId="10" fillId="0" borderId="49" xfId="0" applyFont="1" applyFill="1" applyBorder="1" applyAlignment="1" applyProtection="1">
      <alignment/>
      <protection hidden="1"/>
    </xf>
    <xf numFmtId="0" fontId="10" fillId="0" borderId="50" xfId="0" applyFont="1" applyFill="1" applyBorder="1" applyAlignment="1" applyProtection="1">
      <alignment horizontal="left"/>
      <protection hidden="1"/>
    </xf>
    <xf numFmtId="4" fontId="10" fillId="0" borderId="51" xfId="0" applyNumberFormat="1" applyFont="1" applyFill="1" applyBorder="1" applyAlignment="1" applyProtection="1">
      <alignment/>
      <protection hidden="1"/>
    </xf>
    <xf numFmtId="4" fontId="10" fillId="0" borderId="52" xfId="0" applyNumberFormat="1" applyFont="1" applyFill="1" applyBorder="1" applyAlignment="1" applyProtection="1">
      <alignment/>
      <protection hidden="1"/>
    </xf>
    <xf numFmtId="0" fontId="10" fillId="0" borderId="36" xfId="0" applyFont="1" applyFill="1" applyBorder="1" applyAlignment="1" applyProtection="1">
      <alignment/>
      <protection hidden="1"/>
    </xf>
    <xf numFmtId="4" fontId="10" fillId="0" borderId="45" xfId="0" applyNumberFormat="1" applyFont="1" applyFill="1" applyBorder="1" applyAlignment="1" applyProtection="1">
      <alignment/>
      <protection hidden="1"/>
    </xf>
    <xf numFmtId="0" fontId="10" fillId="0" borderId="36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/>
      <protection locked="0"/>
    </xf>
    <xf numFmtId="3" fontId="10" fillId="0" borderId="36" xfId="0" applyNumberFormat="1" applyFont="1" applyFill="1" applyBorder="1" applyAlignment="1" applyProtection="1">
      <alignment horizontal="right"/>
      <protection locked="0"/>
    </xf>
    <xf numFmtId="0" fontId="10" fillId="0" borderId="36" xfId="0" applyFont="1" applyFill="1" applyBorder="1" applyAlignment="1" applyProtection="1">
      <alignment horizontal="center"/>
      <protection hidden="1"/>
    </xf>
    <xf numFmtId="0" fontId="9" fillId="0" borderId="27" xfId="0" applyFont="1" applyFill="1" applyBorder="1" applyAlignment="1" applyProtection="1">
      <alignment/>
      <protection hidden="1"/>
    </xf>
    <xf numFmtId="4" fontId="9" fillId="0" borderId="49" xfId="0" applyNumberFormat="1" applyFont="1" applyFill="1" applyBorder="1" applyAlignment="1" applyProtection="1">
      <alignment/>
      <protection hidden="1"/>
    </xf>
    <xf numFmtId="4" fontId="10" fillId="0" borderId="49" xfId="0" applyNumberFormat="1" applyFont="1" applyFill="1" applyBorder="1" applyAlignment="1" applyProtection="1">
      <alignment/>
      <protection hidden="1"/>
    </xf>
    <xf numFmtId="0" fontId="9" fillId="0" borderId="50" xfId="0" applyFont="1" applyFill="1" applyBorder="1" applyAlignment="1" applyProtection="1">
      <alignment/>
      <protection hidden="1"/>
    </xf>
    <xf numFmtId="4" fontId="9" fillId="0" borderId="52" xfId="0" applyNumberFormat="1" applyFont="1" applyFill="1" applyBorder="1" applyAlignment="1" applyProtection="1">
      <alignment/>
      <protection hidden="1"/>
    </xf>
    <xf numFmtId="0" fontId="9" fillId="0" borderId="36" xfId="0" applyFont="1" applyFill="1" applyBorder="1" applyAlignment="1" applyProtection="1">
      <alignment/>
      <protection hidden="1"/>
    </xf>
    <xf numFmtId="4" fontId="9" fillId="0" borderId="45" xfId="0" applyNumberFormat="1" applyFont="1" applyFill="1" applyBorder="1" applyAlignment="1" applyProtection="1">
      <alignment/>
      <protection hidden="1"/>
    </xf>
    <xf numFmtId="0" fontId="10" fillId="0" borderId="27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9" fillId="0" borderId="37" xfId="0" applyFont="1" applyFill="1" applyBorder="1" applyAlignment="1" applyProtection="1">
      <alignment/>
      <protection hidden="1"/>
    </xf>
    <xf numFmtId="4" fontId="9" fillId="0" borderId="53" xfId="0" applyNumberFormat="1" applyFont="1" applyFill="1" applyBorder="1" applyAlignment="1" applyProtection="1">
      <alignment/>
      <protection hidden="1"/>
    </xf>
    <xf numFmtId="0" fontId="9" fillId="0" borderId="54" xfId="0" applyFont="1" applyFill="1" applyBorder="1" applyAlignment="1" applyProtection="1">
      <alignment/>
      <protection hidden="1"/>
    </xf>
    <xf numFmtId="2" fontId="9" fillId="0" borderId="53" xfId="0" applyNumberFormat="1" applyFont="1" applyFill="1" applyBorder="1" applyAlignment="1" applyProtection="1">
      <alignment/>
      <protection hidden="1"/>
    </xf>
    <xf numFmtId="0" fontId="10" fillId="0" borderId="50" xfId="0" applyFont="1" applyFill="1" applyBorder="1" applyAlignment="1" applyProtection="1">
      <alignment/>
      <protection hidden="1"/>
    </xf>
    <xf numFmtId="0" fontId="10" fillId="0" borderId="55" xfId="0" applyFont="1" applyFill="1" applyBorder="1" applyAlignment="1" applyProtection="1">
      <alignment/>
      <protection hidden="1"/>
    </xf>
    <xf numFmtId="0" fontId="10" fillId="0" borderId="52" xfId="0" applyFont="1" applyFill="1" applyBorder="1" applyAlignment="1" applyProtection="1">
      <alignment/>
      <protection hidden="1"/>
    </xf>
    <xf numFmtId="0" fontId="9" fillId="0" borderId="10" xfId="0" applyFont="1" applyFill="1" applyBorder="1" applyAlignment="1" applyProtection="1">
      <alignment/>
      <protection hidden="1"/>
    </xf>
    <xf numFmtId="10" fontId="9" fillId="0" borderId="49" xfId="52" applyNumberFormat="1" applyFont="1" applyFill="1" applyBorder="1" applyAlignment="1" applyProtection="1">
      <alignment/>
      <protection hidden="1"/>
    </xf>
    <xf numFmtId="171" fontId="10" fillId="0" borderId="51" xfId="54" applyFont="1" applyFill="1" applyBorder="1" applyAlignment="1" applyProtection="1">
      <alignment/>
      <protection hidden="1"/>
    </xf>
    <xf numFmtId="171" fontId="10" fillId="0" borderId="44" xfId="54" applyFont="1" applyFill="1" applyBorder="1" applyAlignment="1" applyProtection="1">
      <alignment/>
      <protection hidden="1"/>
    </xf>
    <xf numFmtId="171" fontId="4" fillId="0" borderId="44" xfId="54" applyFont="1" applyFill="1" applyBorder="1" applyAlignment="1" applyProtection="1">
      <alignment/>
      <protection hidden="1"/>
    </xf>
    <xf numFmtId="171" fontId="9" fillId="0" borderId="28" xfId="54" applyFont="1" applyFill="1" applyBorder="1" applyAlignment="1" applyProtection="1">
      <alignment/>
      <protection hidden="1"/>
    </xf>
    <xf numFmtId="171" fontId="9" fillId="0" borderId="51" xfId="54" applyFont="1" applyFill="1" applyBorder="1" applyAlignment="1" applyProtection="1">
      <alignment/>
      <protection hidden="1"/>
    </xf>
    <xf numFmtId="171" fontId="9" fillId="0" borderId="44" xfId="54" applyFont="1" applyFill="1" applyBorder="1" applyAlignment="1" applyProtection="1">
      <alignment/>
      <protection hidden="1"/>
    </xf>
    <xf numFmtId="171" fontId="9" fillId="0" borderId="11" xfId="54" applyFont="1" applyFill="1" applyBorder="1" applyAlignment="1" applyProtection="1">
      <alignment/>
      <protection hidden="1"/>
    </xf>
    <xf numFmtId="171" fontId="10" fillId="0" borderId="44" xfId="54" applyFont="1" applyFill="1" applyBorder="1" applyAlignment="1" applyProtection="1">
      <alignment/>
      <protection locked="0"/>
    </xf>
    <xf numFmtId="171" fontId="10" fillId="0" borderId="28" xfId="54" applyFont="1" applyFill="1" applyBorder="1" applyAlignment="1" applyProtection="1">
      <alignment/>
      <protection locked="0"/>
    </xf>
    <xf numFmtId="171" fontId="10" fillId="0" borderId="55" xfId="54" applyFont="1" applyFill="1" applyBorder="1" applyAlignment="1" applyProtection="1">
      <alignment/>
      <protection hidden="1"/>
    </xf>
    <xf numFmtId="171" fontId="9" fillId="0" borderId="10" xfId="54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171" fontId="9" fillId="0" borderId="47" xfId="54" applyFont="1" applyFill="1" applyBorder="1" applyAlignment="1" applyProtection="1">
      <alignment horizontal="center"/>
      <protection hidden="1"/>
    </xf>
    <xf numFmtId="171" fontId="10" fillId="0" borderId="10" xfId="54" applyFont="1" applyFill="1" applyBorder="1" applyAlignment="1" applyProtection="1">
      <alignment/>
      <protection hidden="1"/>
    </xf>
    <xf numFmtId="0" fontId="10" fillId="0" borderId="45" xfId="0" applyFont="1" applyFill="1" applyBorder="1" applyAlignment="1" applyProtection="1">
      <alignment/>
      <protection hidden="1"/>
    </xf>
    <xf numFmtId="4" fontId="9" fillId="0" borderId="12" xfId="0" applyNumberFormat="1" applyFont="1" applyFill="1" applyBorder="1" applyAlignment="1" applyProtection="1">
      <alignment/>
      <protection hidden="1"/>
    </xf>
    <xf numFmtId="171" fontId="10" fillId="0" borderId="0" xfId="54" applyFont="1" applyFill="1" applyBorder="1" applyAlignment="1" applyProtection="1">
      <alignment/>
      <protection hidden="1"/>
    </xf>
    <xf numFmtId="0" fontId="10" fillId="0" borderId="50" xfId="0" applyFont="1" applyFill="1" applyBorder="1" applyAlignment="1" applyProtection="1">
      <alignment vertical="center"/>
      <protection hidden="1"/>
    </xf>
    <xf numFmtId="171" fontId="10" fillId="0" borderId="55" xfId="54" applyFont="1" applyFill="1" applyBorder="1" applyAlignment="1" applyProtection="1">
      <alignment horizontal="right" vertical="center"/>
      <protection hidden="1"/>
    </xf>
    <xf numFmtId="0" fontId="10" fillId="0" borderId="52" xfId="0" applyFont="1" applyFill="1" applyBorder="1" applyAlignment="1" applyProtection="1">
      <alignment horizontal="center" vertical="center"/>
      <protection hidden="1"/>
    </xf>
    <xf numFmtId="10" fontId="10" fillId="0" borderId="52" xfId="52" applyNumberFormat="1" applyFont="1" applyFill="1" applyBorder="1" applyAlignment="1" applyProtection="1">
      <alignment/>
      <protection hidden="1"/>
    </xf>
    <xf numFmtId="0" fontId="10" fillId="0" borderId="36" xfId="0" applyFont="1" applyFill="1" applyBorder="1" applyAlignment="1" applyProtection="1">
      <alignment vertical="center"/>
      <protection hidden="1"/>
    </xf>
    <xf numFmtId="171" fontId="10" fillId="0" borderId="0" xfId="54" applyFont="1" applyFill="1" applyBorder="1" applyAlignment="1" applyProtection="1">
      <alignment horizontal="right" vertical="center"/>
      <protection hidden="1"/>
    </xf>
    <xf numFmtId="0" fontId="10" fillId="0" borderId="45" xfId="0" applyFont="1" applyFill="1" applyBorder="1" applyAlignment="1" applyProtection="1">
      <alignment horizontal="center" vertical="center"/>
      <protection hidden="1"/>
    </xf>
    <xf numFmtId="10" fontId="10" fillId="0" borderId="45" xfId="52" applyNumberFormat="1" applyFont="1" applyFill="1" applyBorder="1" applyAlignment="1" applyProtection="1">
      <alignment/>
      <protection hidden="1"/>
    </xf>
    <xf numFmtId="0" fontId="10" fillId="0" borderId="36" xfId="0" applyFont="1" applyFill="1" applyBorder="1" applyAlignment="1" applyProtection="1">
      <alignment horizontal="left" vertical="center"/>
      <protection hidden="1"/>
    </xf>
    <xf numFmtId="0" fontId="10" fillId="0" borderId="36" xfId="0" applyFont="1" applyFill="1" applyBorder="1" applyAlignment="1" applyProtection="1">
      <alignment horizontal="left"/>
      <protection hidden="1"/>
    </xf>
    <xf numFmtId="171" fontId="10" fillId="0" borderId="0" xfId="54" applyFont="1" applyFill="1" applyBorder="1" applyAlignment="1" applyProtection="1">
      <alignment horizontal="left"/>
      <protection hidden="1"/>
    </xf>
    <xf numFmtId="3" fontId="10" fillId="0" borderId="36" xfId="0" applyNumberFormat="1" applyFont="1" applyFill="1" applyBorder="1" applyAlignment="1" applyProtection="1">
      <alignment horizontal="right"/>
      <protection hidden="1"/>
    </xf>
    <xf numFmtId="171" fontId="10" fillId="0" borderId="44" xfId="54" applyFont="1" applyFill="1" applyBorder="1" applyAlignment="1" applyProtection="1">
      <alignment vertical="center"/>
      <protection hidden="1"/>
    </xf>
    <xf numFmtId="10" fontId="10" fillId="0" borderId="45" xfId="52" applyNumberFormat="1" applyFont="1" applyFill="1" applyBorder="1" applyAlignment="1" applyProtection="1">
      <alignment vertical="center"/>
      <protection hidden="1"/>
    </xf>
    <xf numFmtId="0" fontId="10" fillId="0" borderId="36" xfId="0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Alignment="1" applyProtection="1">
      <alignment horizontal="right" vertical="center"/>
      <protection hidden="1"/>
    </xf>
    <xf numFmtId="0" fontId="9" fillId="0" borderId="37" xfId="0" applyFont="1" applyFill="1" applyBorder="1" applyAlignment="1" applyProtection="1">
      <alignment vertical="center"/>
      <protection hidden="1"/>
    </xf>
    <xf numFmtId="171" fontId="9" fillId="0" borderId="11" xfId="54" applyFont="1" applyFill="1" applyBorder="1" applyAlignment="1" applyProtection="1">
      <alignment vertical="center"/>
      <protection hidden="1"/>
    </xf>
    <xf numFmtId="10" fontId="9" fillId="0" borderId="53" xfId="52" applyNumberFormat="1" applyFont="1" applyFill="1" applyBorder="1" applyAlignment="1" applyProtection="1">
      <alignment vertical="center"/>
      <protection hidden="1"/>
    </xf>
    <xf numFmtId="10" fontId="9" fillId="0" borderId="12" xfId="52" applyNumberFormat="1" applyFont="1" applyFill="1" applyBorder="1" applyAlignment="1" applyProtection="1">
      <alignment vertical="center"/>
      <protection hidden="1"/>
    </xf>
    <xf numFmtId="171" fontId="4" fillId="0" borderId="42" xfId="54" applyFont="1" applyFill="1" applyBorder="1" applyAlignment="1" applyProtection="1">
      <alignment/>
      <protection hidden="1"/>
    </xf>
    <xf numFmtId="171" fontId="4" fillId="40" borderId="17" xfId="54" applyFont="1" applyFill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71" fontId="4" fillId="41" borderId="19" xfId="54" applyFont="1" applyFill="1" applyBorder="1" applyAlignment="1" applyProtection="1">
      <alignment/>
      <protection locked="0"/>
    </xf>
    <xf numFmtId="171" fontId="4" fillId="42" borderId="19" xfId="54" applyFont="1" applyFill="1" applyBorder="1" applyAlignment="1" applyProtection="1">
      <alignment/>
      <protection locked="0"/>
    </xf>
    <xf numFmtId="171" fontId="4" fillId="43" borderId="19" xfId="54" applyFont="1" applyFill="1" applyBorder="1" applyAlignment="1" applyProtection="1">
      <alignment/>
      <protection locked="0"/>
    </xf>
    <xf numFmtId="171" fontId="4" fillId="44" borderId="17" xfId="54" applyFont="1" applyFill="1" applyBorder="1" applyAlignment="1" applyProtection="1">
      <alignment/>
      <protection locked="0"/>
    </xf>
    <xf numFmtId="171" fontId="4" fillId="44" borderId="19" xfId="54" applyFont="1" applyFill="1" applyBorder="1" applyAlignment="1" applyProtection="1">
      <alignment/>
      <protection locked="0"/>
    </xf>
    <xf numFmtId="171" fontId="4" fillId="42" borderId="17" xfId="54" applyFont="1" applyFill="1" applyBorder="1" applyAlignment="1" applyProtection="1">
      <alignment/>
      <protection locked="0"/>
    </xf>
    <xf numFmtId="0" fontId="6" fillId="45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1" fontId="7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46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1" fontId="4" fillId="0" borderId="0" xfId="54" applyFont="1" applyAlignment="1" applyProtection="1">
      <alignment/>
      <protection/>
    </xf>
    <xf numFmtId="171" fontId="5" fillId="47" borderId="0" xfId="0" applyNumberFormat="1" applyFont="1" applyFill="1" applyAlignment="1" applyProtection="1">
      <alignment/>
      <protection/>
    </xf>
    <xf numFmtId="9" fontId="6" fillId="46" borderId="0" xfId="0" applyNumberFormat="1" applyFont="1" applyFill="1" applyAlignment="1" applyProtection="1">
      <alignment horizontal="center"/>
      <protection/>
    </xf>
    <xf numFmtId="171" fontId="5" fillId="47" borderId="0" xfId="0" applyNumberFormat="1" applyFont="1" applyFill="1" applyAlignment="1" applyProtection="1">
      <alignment vertical="center"/>
      <protection/>
    </xf>
    <xf numFmtId="0" fontId="4" fillId="0" borderId="31" xfId="0" applyFont="1" applyBorder="1" applyAlignment="1" applyProtection="1">
      <alignment horizontal="right" shrinkToFit="1"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56" xfId="0" applyFont="1" applyBorder="1" applyAlignment="1" applyProtection="1">
      <alignment/>
      <protection/>
    </xf>
    <xf numFmtId="171" fontId="5" fillId="0" borderId="14" xfId="54" applyFont="1" applyBorder="1" applyAlignment="1" applyProtection="1">
      <alignment/>
      <protection/>
    </xf>
    <xf numFmtId="171" fontId="4" fillId="0" borderId="15" xfId="54" applyFont="1" applyBorder="1" applyAlignment="1" applyProtection="1">
      <alignment/>
      <protection/>
    </xf>
    <xf numFmtId="171" fontId="4" fillId="0" borderId="16" xfId="54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right" shrinkToFit="1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171" fontId="4" fillId="0" borderId="17" xfId="54" applyFont="1" applyFill="1" applyBorder="1" applyAlignment="1" applyProtection="1">
      <alignment/>
      <protection/>
    </xf>
    <xf numFmtId="171" fontId="4" fillId="0" borderId="18" xfId="54" applyFont="1" applyFill="1" applyBorder="1" applyAlignment="1" applyProtection="1">
      <alignment/>
      <protection/>
    </xf>
    <xf numFmtId="171" fontId="4" fillId="0" borderId="19" xfId="54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right" shrinkToFit="1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38" xfId="0" applyFont="1" applyFill="1" applyBorder="1" applyAlignment="1" applyProtection="1">
      <alignment/>
      <protection/>
    </xf>
    <xf numFmtId="0" fontId="12" fillId="0" borderId="57" xfId="0" applyFont="1" applyBorder="1" applyAlignment="1" applyProtection="1">
      <alignment horizontal="center" vertical="top" wrapText="1"/>
      <protection/>
    </xf>
    <xf numFmtId="0" fontId="12" fillId="0" borderId="57" xfId="0" applyFont="1" applyBorder="1" applyAlignment="1" applyProtection="1">
      <alignment vertical="top" wrapText="1"/>
      <protection/>
    </xf>
    <xf numFmtId="0" fontId="4" fillId="0" borderId="18" xfId="54" applyNumberFormat="1" applyFont="1" applyFill="1" applyBorder="1" applyAlignment="1" applyProtection="1">
      <alignment horizontal="center"/>
      <protection/>
    </xf>
    <xf numFmtId="171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171" fontId="4" fillId="0" borderId="58" xfId="54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 horizontal="right" shrinkToFit="1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4" fillId="36" borderId="17" xfId="0" applyFont="1" applyFill="1" applyBorder="1" applyAlignment="1" applyProtection="1">
      <alignment horizontal="right" shrinkToFit="1"/>
      <protection/>
    </xf>
    <xf numFmtId="0" fontId="4" fillId="36" borderId="18" xfId="0" applyFont="1" applyFill="1" applyBorder="1" applyAlignment="1" applyProtection="1">
      <alignment horizontal="center"/>
      <protection/>
    </xf>
    <xf numFmtId="0" fontId="4" fillId="37" borderId="17" xfId="0" applyFont="1" applyFill="1" applyBorder="1" applyAlignment="1" applyProtection="1">
      <alignment horizontal="right" shrinkToFit="1"/>
      <protection/>
    </xf>
    <xf numFmtId="0" fontId="4" fillId="37" borderId="18" xfId="0" applyFont="1" applyFill="1" applyBorder="1" applyAlignment="1" applyProtection="1">
      <alignment horizontal="center"/>
      <protection/>
    </xf>
    <xf numFmtId="0" fontId="4" fillId="38" borderId="17" xfId="0" applyFont="1" applyFill="1" applyBorder="1" applyAlignment="1" applyProtection="1">
      <alignment horizontal="right" shrinkToFit="1"/>
      <protection/>
    </xf>
    <xf numFmtId="0" fontId="4" fillId="38" borderId="18" xfId="0" applyFont="1" applyFill="1" applyBorder="1" applyAlignment="1" applyProtection="1">
      <alignment horizontal="center"/>
      <protection/>
    </xf>
    <xf numFmtId="0" fontId="4" fillId="39" borderId="17" xfId="0" applyFont="1" applyFill="1" applyBorder="1" applyAlignment="1" applyProtection="1">
      <alignment horizontal="right" shrinkToFit="1"/>
      <protection/>
    </xf>
    <xf numFmtId="0" fontId="4" fillId="39" borderId="18" xfId="0" applyFont="1" applyFill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4" fillId="44" borderId="17" xfId="0" applyFont="1" applyFill="1" applyBorder="1" applyAlignment="1" applyProtection="1">
      <alignment horizontal="right" shrinkToFit="1"/>
      <protection/>
    </xf>
    <xf numFmtId="0" fontId="4" fillId="44" borderId="18" xfId="0" applyFont="1" applyFill="1" applyBorder="1" applyAlignment="1" applyProtection="1">
      <alignment horizontal="center"/>
      <protection/>
    </xf>
    <xf numFmtId="0" fontId="4" fillId="0" borderId="59" xfId="0" applyFont="1" applyFill="1" applyBorder="1" applyAlignment="1" applyProtection="1">
      <alignment horizontal="right" shrinkToFit="1"/>
      <protection/>
    </xf>
    <xf numFmtId="0" fontId="4" fillId="0" borderId="59" xfId="0" applyFont="1" applyBorder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0" fontId="4" fillId="42" borderId="1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right" shrinkToFit="1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/>
      <protection/>
    </xf>
    <xf numFmtId="0" fontId="4" fillId="0" borderId="43" xfId="0" applyFont="1" applyFill="1" applyBorder="1" applyAlignment="1" applyProtection="1">
      <alignment/>
      <protection/>
    </xf>
    <xf numFmtId="0" fontId="4" fillId="0" borderId="60" xfId="0" applyFont="1" applyFill="1" applyBorder="1" applyAlignment="1" applyProtection="1">
      <alignment/>
      <protection/>
    </xf>
    <xf numFmtId="0" fontId="4" fillId="0" borderId="61" xfId="0" applyFont="1" applyFill="1" applyBorder="1" applyAlignment="1" applyProtection="1">
      <alignment/>
      <protection/>
    </xf>
    <xf numFmtId="171" fontId="4" fillId="0" borderId="24" xfId="54" applyFont="1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shrinkToFit="1"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171" fontId="4" fillId="0" borderId="30" xfId="54" applyFont="1" applyFill="1" applyBorder="1" applyAlignment="1" applyProtection="1">
      <alignment/>
      <protection/>
    </xf>
    <xf numFmtId="171" fontId="4" fillId="0" borderId="11" xfId="54" applyFont="1" applyFill="1" applyBorder="1" applyAlignment="1" applyProtection="1">
      <alignment/>
      <protection/>
    </xf>
    <xf numFmtId="171" fontId="4" fillId="0" borderId="12" xfId="54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 horizontal="right" shrinkToFit="1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171" fontId="4" fillId="0" borderId="14" xfId="54" applyFont="1" applyFill="1" applyBorder="1" applyAlignment="1" applyProtection="1">
      <alignment/>
      <protection/>
    </xf>
    <xf numFmtId="171" fontId="4" fillId="0" borderId="15" xfId="54" applyFont="1" applyFill="1" applyBorder="1" applyAlignment="1" applyProtection="1">
      <alignment/>
      <protection/>
    </xf>
    <xf numFmtId="171" fontId="4" fillId="0" borderId="16" xfId="54" applyFont="1" applyFill="1" applyBorder="1" applyAlignment="1" applyProtection="1">
      <alignment/>
      <protection/>
    </xf>
    <xf numFmtId="171" fontId="4" fillId="0" borderId="0" xfId="0" applyNumberFormat="1" applyFont="1" applyFill="1" applyAlignment="1" applyProtection="1">
      <alignment/>
      <protection/>
    </xf>
    <xf numFmtId="171" fontId="4" fillId="36" borderId="18" xfId="54" applyFont="1" applyFill="1" applyBorder="1" applyAlignment="1" applyProtection="1">
      <alignment/>
      <protection/>
    </xf>
    <xf numFmtId="0" fontId="4" fillId="0" borderId="62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/>
      <protection/>
    </xf>
    <xf numFmtId="171" fontId="4" fillId="0" borderId="54" xfId="54" applyFont="1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 shrinkToFit="1"/>
      <protection/>
    </xf>
    <xf numFmtId="171" fontId="5" fillId="0" borderId="30" xfId="54" applyFont="1" applyFill="1" applyBorder="1" applyAlignment="1" applyProtection="1">
      <alignment/>
      <protection/>
    </xf>
    <xf numFmtId="171" fontId="5" fillId="0" borderId="11" xfId="54" applyFont="1" applyFill="1" applyBorder="1" applyAlignment="1" applyProtection="1">
      <alignment/>
      <protection/>
    </xf>
    <xf numFmtId="171" fontId="5" fillId="0" borderId="12" xfId="54" applyFont="1" applyFill="1" applyBorder="1" applyAlignment="1" applyProtection="1">
      <alignment/>
      <protection/>
    </xf>
    <xf numFmtId="171" fontId="4" fillId="0" borderId="0" xfId="54" applyFont="1" applyFill="1" applyAlignment="1" applyProtection="1">
      <alignment/>
      <protection/>
    </xf>
    <xf numFmtId="0" fontId="5" fillId="0" borderId="64" xfId="0" applyFont="1" applyFill="1" applyBorder="1" applyAlignment="1" applyProtection="1">
      <alignment vertical="center"/>
      <protection/>
    </xf>
    <xf numFmtId="0" fontId="5" fillId="0" borderId="54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50" xfId="0" applyFont="1" applyFill="1" applyBorder="1" applyAlignment="1" applyProtection="1">
      <alignment vertical="center"/>
      <protection/>
    </xf>
    <xf numFmtId="171" fontId="5" fillId="0" borderId="65" xfId="54" applyFont="1" applyFill="1" applyBorder="1" applyAlignment="1" applyProtection="1">
      <alignment vertical="center"/>
      <protection/>
    </xf>
    <xf numFmtId="171" fontId="5" fillId="0" borderId="66" xfId="54" applyFont="1" applyFill="1" applyBorder="1" applyAlignment="1" applyProtection="1">
      <alignment vertical="center"/>
      <protection/>
    </xf>
    <xf numFmtId="171" fontId="5" fillId="0" borderId="67" xfId="54" applyFont="1" applyFill="1" applyBorder="1" applyAlignment="1" applyProtection="1">
      <alignment vertical="center"/>
      <protection/>
    </xf>
    <xf numFmtId="0" fontId="5" fillId="34" borderId="36" xfId="0" applyFont="1" applyFill="1" applyBorder="1" applyAlignment="1" applyProtection="1">
      <alignment vertical="center"/>
      <protection/>
    </xf>
    <xf numFmtId="171" fontId="5" fillId="0" borderId="68" xfId="54" applyFont="1" applyFill="1" applyBorder="1" applyAlignment="1" applyProtection="1">
      <alignment vertical="center"/>
      <protection/>
    </xf>
    <xf numFmtId="171" fontId="5" fillId="0" borderId="69" xfId="54" applyFont="1" applyFill="1" applyBorder="1" applyAlignment="1" applyProtection="1">
      <alignment vertical="center"/>
      <protection/>
    </xf>
    <xf numFmtId="171" fontId="5" fillId="0" borderId="70" xfId="54" applyFont="1" applyFill="1" applyBorder="1" applyAlignment="1" applyProtection="1">
      <alignment vertical="center"/>
      <protection/>
    </xf>
    <xf numFmtId="0" fontId="5" fillId="37" borderId="36" xfId="0" applyFont="1" applyFill="1" applyBorder="1" applyAlignment="1" applyProtection="1">
      <alignment vertical="center"/>
      <protection/>
    </xf>
    <xf numFmtId="0" fontId="5" fillId="38" borderId="36" xfId="0" applyFont="1" applyFill="1" applyBorder="1" applyAlignment="1" applyProtection="1">
      <alignment vertical="center"/>
      <protection/>
    </xf>
    <xf numFmtId="171" fontId="5" fillId="0" borderId="71" xfId="54" applyFont="1" applyFill="1" applyBorder="1" applyAlignment="1" applyProtection="1">
      <alignment vertical="center"/>
      <protection/>
    </xf>
    <xf numFmtId="171" fontId="5" fillId="0" borderId="72" xfId="54" applyFont="1" applyFill="1" applyBorder="1" applyAlignment="1" applyProtection="1">
      <alignment vertical="center"/>
      <protection/>
    </xf>
    <xf numFmtId="171" fontId="5" fillId="0" borderId="73" xfId="54" applyFont="1" applyFill="1" applyBorder="1" applyAlignment="1" applyProtection="1">
      <alignment vertical="center"/>
      <protection/>
    </xf>
    <xf numFmtId="0" fontId="5" fillId="39" borderId="36" xfId="0" applyFont="1" applyFill="1" applyBorder="1" applyAlignment="1" applyProtection="1">
      <alignment vertical="center"/>
      <protection/>
    </xf>
    <xf numFmtId="0" fontId="5" fillId="36" borderId="36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171" fontId="5" fillId="0" borderId="74" xfId="54" applyFont="1" applyFill="1" applyBorder="1" applyAlignment="1" applyProtection="1">
      <alignment vertical="center"/>
      <protection/>
    </xf>
    <xf numFmtId="171" fontId="5" fillId="0" borderId="75" xfId="54" applyFont="1" applyFill="1" applyBorder="1" applyAlignment="1" applyProtection="1">
      <alignment vertical="center"/>
      <protection/>
    </xf>
    <xf numFmtId="171" fontId="5" fillId="0" borderId="76" xfId="54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84" fontId="8" fillId="0" borderId="69" xfId="54" applyNumberFormat="1" applyFont="1" applyBorder="1" applyAlignment="1" applyProtection="1">
      <alignment/>
      <protection/>
    </xf>
    <xf numFmtId="39" fontId="4" fillId="0" borderId="0" xfId="54" applyNumberFormat="1" applyFont="1" applyAlignment="1" applyProtection="1">
      <alignment/>
      <protection/>
    </xf>
    <xf numFmtId="171" fontId="4" fillId="7" borderId="66" xfId="54" applyFont="1" applyFill="1" applyBorder="1" applyAlignment="1" applyProtection="1">
      <alignment/>
      <protection/>
    </xf>
    <xf numFmtId="171" fontId="4" fillId="7" borderId="77" xfId="54" applyFont="1" applyFill="1" applyBorder="1" applyAlignment="1" applyProtection="1">
      <alignment/>
      <protection/>
    </xf>
    <xf numFmtId="171" fontId="4" fillId="7" borderId="67" xfId="54" applyFont="1" applyFill="1" applyBorder="1" applyAlignment="1" applyProtection="1">
      <alignment/>
      <protection/>
    </xf>
    <xf numFmtId="171" fontId="4" fillId="19" borderId="78" xfId="54" applyFont="1" applyFill="1" applyBorder="1" applyAlignment="1" applyProtection="1">
      <alignment/>
      <protection/>
    </xf>
    <xf numFmtId="171" fontId="4" fillId="19" borderId="69" xfId="54" applyFont="1" applyFill="1" applyBorder="1" applyAlignment="1" applyProtection="1">
      <alignment/>
      <protection/>
    </xf>
    <xf numFmtId="171" fontId="4" fillId="19" borderId="70" xfId="54" applyFont="1" applyFill="1" applyBorder="1" applyAlignment="1" applyProtection="1">
      <alignment/>
      <protection/>
    </xf>
    <xf numFmtId="171" fontId="4" fillId="44" borderId="72" xfId="54" applyFont="1" applyFill="1" applyBorder="1" applyAlignment="1" applyProtection="1">
      <alignment/>
      <protection/>
    </xf>
    <xf numFmtId="171" fontId="4" fillId="44" borderId="79" xfId="54" applyFont="1" applyFill="1" applyBorder="1" applyAlignment="1" applyProtection="1">
      <alignment/>
      <protection/>
    </xf>
    <xf numFmtId="171" fontId="4" fillId="44" borderId="80" xfId="54" applyFont="1" applyFill="1" applyBorder="1" applyAlignment="1" applyProtection="1">
      <alignment/>
      <protection/>
    </xf>
    <xf numFmtId="171" fontId="62" fillId="48" borderId="20" xfId="54" applyFont="1" applyFill="1" applyBorder="1" applyAlignment="1" applyProtection="1">
      <alignment/>
      <protection/>
    </xf>
    <xf numFmtId="171" fontId="62" fillId="48" borderId="11" xfId="54" applyFont="1" applyFill="1" applyBorder="1" applyAlignment="1" applyProtection="1">
      <alignment/>
      <protection/>
    </xf>
    <xf numFmtId="171" fontId="62" fillId="48" borderId="12" xfId="54" applyFont="1" applyFill="1" applyBorder="1" applyAlignment="1" applyProtection="1">
      <alignment/>
      <protection/>
    </xf>
    <xf numFmtId="171" fontId="4" fillId="7" borderId="50" xfId="54" applyFont="1" applyFill="1" applyBorder="1" applyAlignment="1" applyProtection="1">
      <alignment/>
      <protection/>
    </xf>
    <xf numFmtId="171" fontId="4" fillId="7" borderId="51" xfId="54" applyFont="1" applyFill="1" applyBorder="1" applyAlignment="1" applyProtection="1">
      <alignment/>
      <protection/>
    </xf>
    <xf numFmtId="171" fontId="4" fillId="13" borderId="36" xfId="54" applyFont="1" applyFill="1" applyBorder="1" applyAlignment="1" applyProtection="1">
      <alignment/>
      <protection/>
    </xf>
    <xf numFmtId="171" fontId="4" fillId="13" borderId="44" xfId="54" applyFont="1" applyFill="1" applyBorder="1" applyAlignment="1" applyProtection="1">
      <alignment/>
      <protection/>
    </xf>
    <xf numFmtId="171" fontId="4" fillId="13" borderId="45" xfId="54" applyFont="1" applyFill="1" applyBorder="1" applyAlignment="1" applyProtection="1">
      <alignment/>
      <protection/>
    </xf>
    <xf numFmtId="171" fontId="4" fillId="7" borderId="36" xfId="54" applyFont="1" applyFill="1" applyBorder="1" applyAlignment="1" applyProtection="1">
      <alignment/>
      <protection/>
    </xf>
    <xf numFmtId="171" fontId="4" fillId="7" borderId="44" xfId="54" applyFont="1" applyFill="1" applyBorder="1" applyAlignment="1" applyProtection="1">
      <alignment/>
      <protection/>
    </xf>
    <xf numFmtId="171" fontId="4" fillId="7" borderId="45" xfId="54" applyFont="1" applyFill="1" applyBorder="1" applyAlignment="1" applyProtection="1">
      <alignment/>
      <protection/>
    </xf>
    <xf numFmtId="171" fontId="4" fillId="13" borderId="27" xfId="54" applyFont="1" applyFill="1" applyBorder="1" applyAlignment="1" applyProtection="1">
      <alignment/>
      <protection/>
    </xf>
    <xf numFmtId="171" fontId="4" fillId="13" borderId="28" xfId="54" applyFont="1" applyFill="1" applyBorder="1" applyAlignment="1" applyProtection="1">
      <alignment/>
      <protection/>
    </xf>
    <xf numFmtId="171" fontId="4" fillId="13" borderId="49" xfId="54" applyFont="1" applyFill="1" applyBorder="1" applyAlignment="1" applyProtection="1">
      <alignment/>
      <protection/>
    </xf>
    <xf numFmtId="171" fontId="5" fillId="19" borderId="37" xfId="54" applyFont="1" applyFill="1" applyBorder="1" applyAlignment="1" applyProtection="1">
      <alignment/>
      <protection/>
    </xf>
    <xf numFmtId="171" fontId="5" fillId="19" borderId="11" xfId="54" applyFont="1" applyFill="1" applyBorder="1" applyAlignment="1" applyProtection="1">
      <alignment/>
      <protection/>
    </xf>
    <xf numFmtId="171" fontId="5" fillId="19" borderId="53" xfId="54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71" fontId="4" fillId="0" borderId="10" xfId="54" applyNumberFormat="1" applyFont="1" applyBorder="1" applyAlignment="1" applyProtection="1">
      <alignment/>
      <protection/>
    </xf>
    <xf numFmtId="171" fontId="4" fillId="0" borderId="10" xfId="54" applyFont="1" applyBorder="1" applyAlignment="1" applyProtection="1">
      <alignment/>
      <protection/>
    </xf>
    <xf numFmtId="0" fontId="5" fillId="33" borderId="30" xfId="0" applyFont="1" applyFill="1" applyBorder="1" applyAlignment="1" applyProtection="1">
      <alignment horizontal="center" vertical="center" textRotation="90" wrapText="1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171" fontId="5" fillId="33" borderId="11" xfId="54" applyFont="1" applyFill="1" applyBorder="1" applyAlignment="1" applyProtection="1">
      <alignment horizontal="center" vertical="center" wrapText="1"/>
      <protection/>
    </xf>
    <xf numFmtId="171" fontId="5" fillId="33" borderId="13" xfId="54" applyFont="1" applyFill="1" applyBorder="1" applyAlignment="1" applyProtection="1">
      <alignment horizontal="center" vertical="center" wrapText="1"/>
      <protection/>
    </xf>
    <xf numFmtId="171" fontId="5" fillId="34" borderId="12" xfId="54" applyFont="1" applyFill="1" applyBorder="1" applyAlignment="1" applyProtection="1">
      <alignment horizontal="center" vertical="center" wrapText="1"/>
      <protection/>
    </xf>
    <xf numFmtId="171" fontId="5" fillId="0" borderId="14" xfId="54" applyNumberFormat="1" applyFont="1" applyBorder="1" applyAlignment="1" applyProtection="1">
      <alignment/>
      <protection/>
    </xf>
    <xf numFmtId="171" fontId="4" fillId="0" borderId="17" xfId="54" applyNumberFormat="1" applyFont="1" applyFill="1" applyBorder="1" applyAlignment="1" applyProtection="1">
      <alignment/>
      <protection/>
    </xf>
    <xf numFmtId="171" fontId="4" fillId="0" borderId="18" xfId="54" applyNumberFormat="1" applyFont="1" applyFill="1" applyBorder="1" applyAlignment="1" applyProtection="1">
      <alignment/>
      <protection/>
    </xf>
    <xf numFmtId="171" fontId="4" fillId="0" borderId="19" xfId="54" applyNumberFormat="1" applyFont="1" applyFill="1" applyBorder="1" applyAlignment="1" applyProtection="1">
      <alignment/>
      <protection/>
    </xf>
    <xf numFmtId="171" fontId="4" fillId="0" borderId="18" xfId="54" applyFont="1" applyBorder="1" applyAlignment="1" applyProtection="1">
      <alignment/>
      <protection/>
    </xf>
    <xf numFmtId="171" fontId="4" fillId="0" borderId="19" xfId="54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171" fontId="4" fillId="0" borderId="25" xfId="54" applyFont="1" applyFill="1" applyBorder="1" applyAlignment="1" applyProtection="1">
      <alignment/>
      <protection/>
    </xf>
    <xf numFmtId="171" fontId="4" fillId="0" borderId="0" xfId="54" applyNumberFormat="1" applyFont="1" applyAlignment="1" applyProtection="1">
      <alignment/>
      <protection/>
    </xf>
    <xf numFmtId="171" fontId="4" fillId="0" borderId="0" xfId="54" applyFont="1" applyBorder="1" applyAlignment="1" applyProtection="1">
      <alignment/>
      <protection/>
    </xf>
    <xf numFmtId="171" fontId="4" fillId="0" borderId="17" xfId="54" applyFont="1" applyFill="1" applyBorder="1" applyAlignment="1" applyProtection="1">
      <alignment/>
      <protection locked="0"/>
    </xf>
    <xf numFmtId="171" fontId="4" fillId="0" borderId="18" xfId="54" applyFont="1" applyFill="1" applyBorder="1" applyAlignment="1" applyProtection="1">
      <alignment/>
      <protection locked="0"/>
    </xf>
    <xf numFmtId="171" fontId="4" fillId="40" borderId="19" xfId="54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56" xfId="0" applyFont="1" applyBorder="1" applyAlignment="1" applyProtection="1">
      <alignment/>
      <protection locked="0"/>
    </xf>
    <xf numFmtId="171" fontId="4" fillId="7" borderId="81" xfId="54" applyFont="1" applyFill="1" applyBorder="1" applyAlignment="1" applyProtection="1">
      <alignment/>
      <protection/>
    </xf>
    <xf numFmtId="171" fontId="4" fillId="13" borderId="81" xfId="54" applyFont="1" applyFill="1" applyBorder="1" applyAlignment="1" applyProtection="1">
      <alignment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44" borderId="38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 vertical="top" wrapText="1"/>
    </xf>
    <xf numFmtId="171" fontId="4" fillId="0" borderId="18" xfId="54" applyFont="1" applyFill="1" applyBorder="1" applyAlignment="1" applyProtection="1">
      <alignment horizontal="left"/>
      <protection/>
    </xf>
    <xf numFmtId="171" fontId="4" fillId="0" borderId="26" xfId="54" applyFont="1" applyFill="1" applyBorder="1" applyAlignment="1" applyProtection="1">
      <alignment/>
      <protection/>
    </xf>
    <xf numFmtId="171" fontId="4" fillId="0" borderId="19" xfId="0" applyNumberFormat="1" applyFont="1" applyFill="1" applyBorder="1" applyAlignment="1" applyProtection="1">
      <alignment/>
      <protection/>
    </xf>
    <xf numFmtId="0" fontId="4" fillId="0" borderId="59" xfId="0" applyFont="1" applyFill="1" applyBorder="1" applyAlignment="1" applyProtection="1">
      <alignment horizontal="right"/>
      <protection/>
    </xf>
    <xf numFmtId="171" fontId="4" fillId="0" borderId="19" xfId="54" applyFont="1" applyFill="1" applyBorder="1" applyAlignment="1" applyProtection="1">
      <alignment horizontal="left"/>
      <protection/>
    </xf>
    <xf numFmtId="171" fontId="4" fillId="0" borderId="18" xfId="0" applyNumberFormat="1" applyFont="1" applyFill="1" applyBorder="1" applyAlignment="1" applyProtection="1">
      <alignment/>
      <protection/>
    </xf>
    <xf numFmtId="171" fontId="4" fillId="0" borderId="64" xfId="54" applyFont="1" applyFill="1" applyBorder="1" applyAlignment="1" applyProtection="1">
      <alignment/>
      <protection/>
    </xf>
    <xf numFmtId="171" fontId="4" fillId="0" borderId="25" xfId="54" applyNumberFormat="1" applyFont="1" applyBorder="1" applyAlignment="1" applyProtection="1">
      <alignment/>
      <protection/>
    </xf>
    <xf numFmtId="171" fontId="5" fillId="0" borderId="54" xfId="54" applyNumberFormat="1" applyFont="1" applyFill="1" applyBorder="1" applyAlignment="1" applyProtection="1">
      <alignment vertical="center"/>
      <protection/>
    </xf>
    <xf numFmtId="171" fontId="5" fillId="0" borderId="53" xfId="54" applyNumberFormat="1" applyFont="1" applyFill="1" applyBorder="1" applyAlignment="1" applyProtection="1">
      <alignment vertical="center"/>
      <protection/>
    </xf>
    <xf numFmtId="171" fontId="5" fillId="0" borderId="64" xfId="54" applyNumberFormat="1" applyFont="1" applyFill="1" applyBorder="1" applyAlignment="1" applyProtection="1">
      <alignment vertical="center"/>
      <protection/>
    </xf>
    <xf numFmtId="171" fontId="4" fillId="0" borderId="82" xfId="54" applyFont="1" applyFill="1" applyBorder="1" applyAlignment="1" applyProtection="1">
      <alignment/>
      <protection/>
    </xf>
    <xf numFmtId="171" fontId="4" fillId="0" borderId="58" xfId="54" applyFont="1" applyFill="1" applyBorder="1" applyAlignment="1" applyProtection="1">
      <alignment horizontal="left"/>
      <protection/>
    </xf>
    <xf numFmtId="171" fontId="4" fillId="0" borderId="58" xfId="0" applyNumberFormat="1" applyFont="1" applyFill="1" applyBorder="1" applyAlignment="1" applyProtection="1">
      <alignment/>
      <protection/>
    </xf>
    <xf numFmtId="171" fontId="4" fillId="0" borderId="83" xfId="54" applyNumberFormat="1" applyFont="1" applyBorder="1" applyAlignment="1" applyProtection="1">
      <alignment/>
      <protection/>
    </xf>
    <xf numFmtId="171" fontId="4" fillId="0" borderId="24" xfId="54" applyNumberFormat="1" applyFont="1" applyBorder="1" applyAlignment="1" applyProtection="1">
      <alignment/>
      <protection/>
    </xf>
    <xf numFmtId="0" fontId="14" fillId="0" borderId="0" xfId="0" applyFont="1" applyFill="1" applyAlignment="1" applyProtection="1">
      <alignment vertical="top" wrapText="1"/>
      <protection/>
    </xf>
    <xf numFmtId="0" fontId="4" fillId="0" borderId="84" xfId="0" applyFont="1" applyFill="1" applyBorder="1" applyAlignment="1" applyProtection="1">
      <alignment/>
      <protection hidden="1"/>
    </xf>
    <xf numFmtId="171" fontId="4" fillId="0" borderId="17" xfId="54" applyFont="1" applyBorder="1" applyAlignment="1" applyProtection="1">
      <alignment/>
      <protection hidden="1"/>
    </xf>
    <xf numFmtId="171" fontId="4" fillId="0" borderId="18" xfId="54" applyFont="1" applyBorder="1" applyAlignment="1" applyProtection="1">
      <alignment/>
      <protection hidden="1"/>
    </xf>
    <xf numFmtId="171" fontId="4" fillId="0" borderId="19" xfId="54" applyFont="1" applyBorder="1" applyAlignment="1" applyProtection="1">
      <alignment/>
      <protection hidden="1"/>
    </xf>
    <xf numFmtId="171" fontId="4" fillId="0" borderId="17" xfId="54" applyFont="1" applyBorder="1" applyAlignment="1" applyProtection="1">
      <alignment/>
      <protection/>
    </xf>
    <xf numFmtId="171" fontId="4" fillId="0" borderId="26" xfId="54" applyFont="1" applyBorder="1" applyAlignment="1" applyProtection="1">
      <alignment/>
      <protection hidden="1"/>
    </xf>
    <xf numFmtId="171" fontId="4" fillId="0" borderId="24" xfId="54" applyFont="1" applyBorder="1" applyAlignment="1" applyProtection="1">
      <alignment/>
      <protection hidden="1"/>
    </xf>
    <xf numFmtId="171" fontId="4" fillId="0" borderId="25" xfId="54" applyFont="1" applyBorder="1" applyAlignment="1" applyProtection="1">
      <alignment/>
      <protection hidden="1"/>
    </xf>
    <xf numFmtId="171" fontId="4" fillId="0" borderId="0" xfId="54" applyFont="1" applyFill="1" applyBorder="1" applyAlignment="1" applyProtection="1">
      <alignment/>
      <protection hidden="1"/>
    </xf>
    <xf numFmtId="0" fontId="4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171" fontId="4" fillId="0" borderId="0" xfId="54" applyFont="1" applyFill="1" applyBorder="1" applyAlignment="1" applyProtection="1">
      <alignment/>
      <protection/>
    </xf>
    <xf numFmtId="171" fontId="4" fillId="0" borderId="0" xfId="54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hidden="1"/>
    </xf>
    <xf numFmtId="171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/>
      <protection locked="0"/>
    </xf>
    <xf numFmtId="171" fontId="63" fillId="0" borderId="44" xfId="54" applyFont="1" applyFill="1" applyBorder="1" applyAlignment="1" applyProtection="1">
      <alignment/>
      <protection locked="0"/>
    </xf>
    <xf numFmtId="0" fontId="63" fillId="0" borderId="36" xfId="0" applyFont="1" applyFill="1" applyBorder="1" applyAlignment="1" applyProtection="1">
      <alignment horizontal="right"/>
      <protection locked="0"/>
    </xf>
    <xf numFmtId="171" fontId="4" fillId="7" borderId="85" xfId="54" applyFont="1" applyFill="1" applyBorder="1" applyAlignment="1" applyProtection="1">
      <alignment/>
      <protection/>
    </xf>
    <xf numFmtId="0" fontId="4" fillId="0" borderId="64" xfId="0" applyFont="1" applyBorder="1" applyAlignment="1" applyProtection="1">
      <alignment horizontal="center"/>
      <protection/>
    </xf>
    <xf numFmtId="171" fontId="64" fillId="36" borderId="17" xfId="54" applyFont="1" applyFill="1" applyBorder="1" applyAlignment="1" applyProtection="1">
      <alignment/>
      <protection locked="0"/>
    </xf>
    <xf numFmtId="171" fontId="4" fillId="36" borderId="60" xfId="54" applyFont="1" applyFill="1" applyBorder="1" applyAlignment="1" applyProtection="1">
      <alignment/>
      <protection/>
    </xf>
    <xf numFmtId="0" fontId="4" fillId="0" borderId="59" xfId="0" applyFont="1" applyFill="1" applyBorder="1" applyAlignment="1" applyProtection="1">
      <alignment/>
      <protection/>
    </xf>
    <xf numFmtId="0" fontId="4" fillId="0" borderId="44" xfId="0" applyFont="1" applyFill="1" applyBorder="1" applyAlignment="1" applyProtection="1">
      <alignment/>
      <protection/>
    </xf>
    <xf numFmtId="0" fontId="4" fillId="0" borderId="86" xfId="0" applyFont="1" applyFill="1" applyBorder="1" applyAlignment="1" applyProtection="1">
      <alignment/>
      <protection/>
    </xf>
    <xf numFmtId="171" fontId="4" fillId="0" borderId="60" xfId="54" applyFont="1" applyFill="1" applyBorder="1" applyAlignment="1" applyProtection="1">
      <alignment/>
      <protection/>
    </xf>
    <xf numFmtId="0" fontId="4" fillId="0" borderId="43" xfId="0" applyFont="1" applyFill="1" applyBorder="1" applyAlignment="1" applyProtection="1">
      <alignment horizontal="right" shrinkToFit="1"/>
      <protection/>
    </xf>
    <xf numFmtId="171" fontId="4" fillId="0" borderId="87" xfId="54" applyFont="1" applyFill="1" applyBorder="1" applyAlignment="1" applyProtection="1">
      <alignment/>
      <protection locked="0"/>
    </xf>
    <xf numFmtId="171" fontId="4" fillId="0" borderId="43" xfId="54" applyFont="1" applyFill="1" applyBorder="1" applyAlignment="1" applyProtection="1">
      <alignment/>
      <protection locked="0"/>
    </xf>
    <xf numFmtId="0" fontId="4" fillId="36" borderId="19" xfId="54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4" fillId="36" borderId="87" xfId="54" applyNumberFormat="1" applyFont="1" applyFill="1" applyBorder="1" applyAlignment="1" applyProtection="1">
      <alignment horizontal="left"/>
      <protection/>
    </xf>
    <xf numFmtId="0" fontId="4" fillId="36" borderId="19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Border="1" applyAlignment="1" applyProtection="1">
      <alignment horizontal="left"/>
      <protection/>
    </xf>
    <xf numFmtId="0" fontId="4" fillId="34" borderId="19" xfId="0" applyNumberFormat="1" applyFont="1" applyFill="1" applyBorder="1" applyAlignment="1" applyProtection="1">
      <alignment horizontal="left"/>
      <protection/>
    </xf>
    <xf numFmtId="0" fontId="4" fillId="39" borderId="19" xfId="0" applyNumberFormat="1" applyFont="1" applyFill="1" applyBorder="1" applyAlignment="1" applyProtection="1">
      <alignment horizontal="left"/>
      <protection/>
    </xf>
    <xf numFmtId="0" fontId="65" fillId="0" borderId="0" xfId="0" applyNumberFormat="1" applyFont="1" applyFill="1" applyAlignment="1">
      <alignment horizontal="left" vertical="top" wrapText="1"/>
    </xf>
    <xf numFmtId="0" fontId="4" fillId="37" borderId="19" xfId="0" applyNumberFormat="1" applyFont="1" applyFill="1" applyBorder="1" applyAlignment="1" applyProtection="1">
      <alignment horizontal="left"/>
      <protection/>
    </xf>
    <xf numFmtId="0" fontId="4" fillId="38" borderId="19" xfId="0" applyNumberFormat="1" applyFont="1" applyFill="1" applyBorder="1" applyAlignment="1" applyProtection="1">
      <alignment horizontal="left"/>
      <protection/>
    </xf>
    <xf numFmtId="0" fontId="4" fillId="44" borderId="19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Alignment="1">
      <alignment horizontal="left" vertical="top" wrapText="1"/>
    </xf>
    <xf numFmtId="0" fontId="4" fillId="42" borderId="19" xfId="0" applyNumberFormat="1" applyFont="1" applyFill="1" applyBorder="1" applyAlignment="1" applyProtection="1">
      <alignment horizontal="left"/>
      <protection/>
    </xf>
    <xf numFmtId="0" fontId="4" fillId="0" borderId="25" xfId="0" applyNumberFormat="1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right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3" fontId="63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36" xfId="0" applyFont="1" applyFill="1" applyBorder="1" applyAlignment="1" applyProtection="1">
      <alignment vertical="top"/>
      <protection hidden="1"/>
    </xf>
    <xf numFmtId="0" fontId="4" fillId="42" borderId="0" xfId="0" applyFont="1" applyFill="1" applyAlignment="1" applyProtection="1">
      <alignment/>
      <protection hidden="1"/>
    </xf>
    <xf numFmtId="0" fontId="4" fillId="42" borderId="0" xfId="0" applyFont="1" applyFill="1" applyAlignment="1" applyProtection="1">
      <alignment vertical="center"/>
      <protection hidden="1"/>
    </xf>
    <xf numFmtId="3" fontId="10" fillId="49" borderId="44" xfId="0" applyNumberFormat="1" applyFont="1" applyFill="1" applyBorder="1" applyAlignment="1" applyProtection="1">
      <alignment horizontal="left"/>
      <protection locked="0"/>
    </xf>
    <xf numFmtId="3" fontId="63" fillId="49" borderId="44" xfId="0" applyNumberFormat="1" applyFont="1" applyFill="1" applyBorder="1" applyAlignment="1" applyProtection="1">
      <alignment horizontal="left"/>
      <protection locked="0"/>
    </xf>
    <xf numFmtId="0" fontId="63" fillId="42" borderId="44" xfId="0" applyFont="1" applyFill="1" applyBorder="1" applyAlignment="1" applyProtection="1">
      <alignment horizontal="right"/>
      <protection locked="0"/>
    </xf>
    <xf numFmtId="3" fontId="63" fillId="42" borderId="88" xfId="0" applyNumberFormat="1" applyFont="1" applyFill="1" applyBorder="1" applyAlignment="1" applyProtection="1">
      <alignment horizontal="left"/>
      <protection locked="0"/>
    </xf>
    <xf numFmtId="0" fontId="63" fillId="0" borderId="89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66" fillId="0" borderId="69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hidden="1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67" fillId="0" borderId="0" xfId="0" applyFont="1" applyBorder="1" applyAlignment="1" applyProtection="1">
      <alignment horizontal="left"/>
      <protection hidden="1"/>
    </xf>
    <xf numFmtId="0" fontId="67" fillId="0" borderId="0" xfId="0" applyFont="1" applyBorder="1" applyAlignment="1" applyProtection="1">
      <alignment horizontal="center"/>
      <protection hidden="1"/>
    </xf>
    <xf numFmtId="4" fontId="67" fillId="0" borderId="0" xfId="0" applyNumberFormat="1" applyFont="1" applyBorder="1" applyAlignment="1" applyProtection="1">
      <alignment horizontal="center"/>
      <protection hidden="1"/>
    </xf>
    <xf numFmtId="4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 applyProtection="1">
      <alignment horizontal="center"/>
      <protection locked="0"/>
    </xf>
    <xf numFmtId="0" fontId="9" fillId="0" borderId="47" xfId="0" applyFont="1" applyFill="1" applyBorder="1" applyAlignment="1" applyProtection="1">
      <alignment horizontal="center"/>
      <protection locked="0"/>
    </xf>
    <xf numFmtId="0" fontId="9" fillId="0" borderId="48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/>
      <protection locked="0"/>
    </xf>
    <xf numFmtId="0" fontId="10" fillId="0" borderId="49" xfId="0" applyFont="1" applyFill="1" applyBorder="1" applyAlignment="1" applyProtection="1">
      <alignment/>
      <protection locked="0"/>
    </xf>
    <xf numFmtId="4" fontId="10" fillId="0" borderId="10" xfId="0" applyNumberFormat="1" applyFont="1" applyFill="1" applyBorder="1" applyAlignment="1" applyProtection="1">
      <alignment/>
      <protection locked="0"/>
    </xf>
    <xf numFmtId="0" fontId="10" fillId="0" borderId="50" xfId="0" applyFont="1" applyFill="1" applyBorder="1" applyAlignment="1" applyProtection="1">
      <alignment horizontal="left"/>
      <protection locked="0"/>
    </xf>
    <xf numFmtId="4" fontId="10" fillId="0" borderId="51" xfId="0" applyNumberFormat="1" applyFont="1" applyFill="1" applyBorder="1" applyAlignment="1" applyProtection="1">
      <alignment/>
      <protection locked="0"/>
    </xf>
    <xf numFmtId="4" fontId="10" fillId="0" borderId="52" xfId="0" applyNumberFormat="1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>
      <alignment/>
      <protection locked="0"/>
    </xf>
    <xf numFmtId="4" fontId="10" fillId="0" borderId="44" xfId="0" applyNumberFormat="1" applyFont="1" applyFill="1" applyBorder="1" applyAlignment="1" applyProtection="1">
      <alignment/>
      <protection locked="0"/>
    </xf>
    <xf numFmtId="4" fontId="10" fillId="0" borderId="45" xfId="0" applyNumberFormat="1" applyFont="1" applyFill="1" applyBorder="1" applyAlignment="1" applyProtection="1">
      <alignment/>
      <protection locked="0"/>
    </xf>
    <xf numFmtId="0" fontId="10" fillId="0" borderId="36" xfId="0" applyFont="1" applyFill="1" applyBorder="1" applyAlignment="1" applyProtection="1">
      <alignment vertical="center"/>
      <protection locked="0"/>
    </xf>
    <xf numFmtId="171" fontId="10" fillId="0" borderId="44" xfId="54" applyFont="1" applyFill="1" applyBorder="1" applyAlignment="1" applyProtection="1">
      <alignment vertical="center"/>
      <protection locked="0"/>
    </xf>
    <xf numFmtId="10" fontId="10" fillId="0" borderId="45" xfId="52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36" xfId="0" applyFont="1" applyFill="1" applyBorder="1" applyAlignment="1" applyProtection="1">
      <alignment horizontal="right" vertical="center"/>
      <protection locked="0"/>
    </xf>
    <xf numFmtId="0" fontId="9" fillId="0" borderId="37" xfId="0" applyFont="1" applyFill="1" applyBorder="1" applyAlignment="1" applyProtection="1">
      <alignment vertical="center"/>
      <protection locked="0"/>
    </xf>
    <xf numFmtId="171" fontId="9" fillId="0" borderId="11" xfId="54" applyFont="1" applyFill="1" applyBorder="1" applyAlignment="1" applyProtection="1">
      <alignment vertical="center"/>
      <protection locked="0"/>
    </xf>
    <xf numFmtId="10" fontId="9" fillId="0" borderId="53" xfId="52" applyNumberFormat="1" applyFont="1" applyFill="1" applyBorder="1" applyAlignment="1" applyProtection="1">
      <alignment vertical="center"/>
      <protection locked="0"/>
    </xf>
    <xf numFmtId="10" fontId="9" fillId="0" borderId="12" xfId="52" applyNumberFormat="1" applyFont="1" applyFill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/>
      <protection locked="0"/>
    </xf>
    <xf numFmtId="0" fontId="4" fillId="0" borderId="55" xfId="0" applyFont="1" applyBorder="1" applyAlignment="1" applyProtection="1">
      <alignment/>
      <protection locked="0"/>
    </xf>
    <xf numFmtId="0" fontId="10" fillId="0" borderId="52" xfId="0" applyFont="1" applyBorder="1" applyAlignment="1" applyProtection="1">
      <alignment/>
      <protection locked="0"/>
    </xf>
    <xf numFmtId="0" fontId="10" fillId="0" borderId="90" xfId="0" applyFont="1" applyFill="1" applyBorder="1" applyAlignment="1" applyProtection="1">
      <alignment vertical="center"/>
      <protection hidden="1"/>
    </xf>
    <xf numFmtId="0" fontId="4" fillId="0" borderId="36" xfId="0" applyFont="1" applyBorder="1" applyAlignment="1" applyProtection="1">
      <alignment/>
      <protection locked="0"/>
    </xf>
    <xf numFmtId="0" fontId="4" fillId="0" borderId="45" xfId="0" applyFont="1" applyBorder="1" applyAlignment="1" applyProtection="1">
      <alignment/>
      <protection locked="0"/>
    </xf>
    <xf numFmtId="171" fontId="68" fillId="0" borderId="0" xfId="54" applyFont="1" applyBorder="1" applyAlignment="1" applyProtection="1">
      <alignment horizontal="left"/>
      <protection locked="0"/>
    </xf>
    <xf numFmtId="0" fontId="6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71" fontId="68" fillId="0" borderId="0" xfId="54" applyFont="1" applyBorder="1" applyAlignment="1" applyProtection="1">
      <alignment horizontal="left"/>
      <protection hidden="1"/>
    </xf>
    <xf numFmtId="0" fontId="10" fillId="0" borderId="90" xfId="0" applyFont="1" applyFill="1" applyBorder="1" applyAlignment="1" applyProtection="1">
      <alignment vertical="center"/>
      <protection locked="0"/>
    </xf>
    <xf numFmtId="10" fontId="10" fillId="0" borderId="81" xfId="52" applyNumberFormat="1" applyFont="1" applyFill="1" applyBorder="1" applyAlignment="1" applyProtection="1">
      <alignment vertical="center"/>
      <protection locked="0"/>
    </xf>
    <xf numFmtId="171" fontId="10" fillId="0" borderId="36" xfId="54" applyFont="1" applyFill="1" applyBorder="1" applyAlignment="1" applyProtection="1">
      <alignment horizontal="left" vertical="center"/>
      <protection locked="0"/>
    </xf>
    <xf numFmtId="0" fontId="10" fillId="0" borderId="55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171" fontId="68" fillId="0" borderId="0" xfId="54" applyFont="1" applyBorder="1" applyAlignment="1" applyProtection="1">
      <alignment/>
      <protection hidden="1"/>
    </xf>
    <xf numFmtId="0" fontId="9" fillId="0" borderId="37" xfId="0" applyFont="1" applyFill="1" applyBorder="1" applyAlignment="1" applyProtection="1">
      <alignment vertical="center" shrinkToFit="1"/>
      <protection hidden="1"/>
    </xf>
    <xf numFmtId="10" fontId="10" fillId="0" borderId="81" xfId="52" applyNumberFormat="1" applyFont="1" applyFill="1" applyBorder="1" applyAlignment="1" applyProtection="1">
      <alignment vertical="center"/>
      <protection hidden="1"/>
    </xf>
    <xf numFmtId="0" fontId="10" fillId="0" borderId="59" xfId="0" applyFont="1" applyFill="1" applyBorder="1" applyAlignment="1" applyProtection="1">
      <alignment vertical="center"/>
      <protection hidden="1"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19" xfId="54" applyNumberFormat="1" applyFont="1" applyFill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left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0" fontId="4" fillId="0" borderId="38" xfId="0" applyNumberFormat="1" applyFont="1" applyFill="1" applyBorder="1" applyAlignment="1" applyProtection="1">
      <alignment horizontal="center"/>
      <protection/>
    </xf>
    <xf numFmtId="0" fontId="65" fillId="0" borderId="38" xfId="0" applyNumberFormat="1" applyFont="1" applyFill="1" applyBorder="1" applyAlignment="1" applyProtection="1">
      <alignment horizontal="justify" vertical="top" wrapText="1"/>
      <protection/>
    </xf>
    <xf numFmtId="0" fontId="14" fillId="0" borderId="0" xfId="0" applyNumberFormat="1" applyFont="1" applyFill="1" applyAlignment="1" applyProtection="1">
      <alignment vertical="top" wrapText="1"/>
      <protection/>
    </xf>
    <xf numFmtId="0" fontId="4" fillId="0" borderId="39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54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171" fontId="4" fillId="0" borderId="91" xfId="54" applyFont="1" applyFill="1" applyBorder="1" applyAlignment="1" applyProtection="1">
      <alignment/>
      <protection/>
    </xf>
    <xf numFmtId="171" fontId="4" fillId="0" borderId="87" xfId="54" applyFont="1" applyFill="1" applyBorder="1" applyAlignment="1" applyProtection="1">
      <alignment/>
      <protection/>
    </xf>
    <xf numFmtId="171" fontId="4" fillId="0" borderId="26" xfId="54" applyFont="1" applyBorder="1" applyAlignment="1" applyProtection="1">
      <alignment/>
      <protection/>
    </xf>
    <xf numFmtId="171" fontId="4" fillId="0" borderId="24" xfId="54" applyFont="1" applyBorder="1" applyAlignment="1" applyProtection="1">
      <alignment/>
      <protection/>
    </xf>
    <xf numFmtId="171" fontId="4" fillId="0" borderId="25" xfId="54" applyFont="1" applyBorder="1" applyAlignment="1" applyProtection="1">
      <alignment/>
      <protection/>
    </xf>
    <xf numFmtId="0" fontId="4" fillId="39" borderId="18" xfId="0" applyNumberFormat="1" applyFont="1" applyFill="1" applyBorder="1" applyAlignment="1" applyProtection="1">
      <alignment horizontal="center"/>
      <protection/>
    </xf>
    <xf numFmtId="171" fontId="4" fillId="0" borderId="23" xfId="54" applyNumberFormat="1" applyFont="1" applyFill="1" applyBorder="1" applyAlignment="1" applyProtection="1">
      <alignment horizontal="center"/>
      <protection hidden="1"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/>
      <protection hidden="1"/>
    </xf>
    <xf numFmtId="171" fontId="66" fillId="36" borderId="19" xfId="54" applyFont="1" applyFill="1" applyBorder="1" applyAlignment="1" applyProtection="1">
      <alignment/>
      <protection locked="0"/>
    </xf>
    <xf numFmtId="171" fontId="66" fillId="35" borderId="19" xfId="54" applyFont="1" applyFill="1" applyBorder="1" applyAlignment="1" applyProtection="1">
      <alignment/>
      <protection locked="0"/>
    </xf>
    <xf numFmtId="171" fontId="69" fillId="35" borderId="19" xfId="54" applyFont="1" applyFill="1" applyBorder="1" applyAlignment="1" applyProtection="1">
      <alignment/>
      <protection locked="0"/>
    </xf>
    <xf numFmtId="171" fontId="69" fillId="0" borderId="18" xfId="54" applyFont="1" applyFill="1" applyBorder="1" applyAlignment="1" applyProtection="1">
      <alignment/>
      <protection/>
    </xf>
    <xf numFmtId="171" fontId="66" fillId="0" borderId="19" xfId="54" applyFont="1" applyFill="1" applyBorder="1" applyAlignment="1" applyProtection="1">
      <alignment/>
      <protection locked="0"/>
    </xf>
    <xf numFmtId="0" fontId="65" fillId="0" borderId="19" xfId="0" applyNumberFormat="1" applyFont="1" applyFill="1" applyBorder="1" applyAlignment="1">
      <alignment horizontal="left" vertical="top" wrapText="1"/>
    </xf>
    <xf numFmtId="0" fontId="10" fillId="13" borderId="36" xfId="0" applyFont="1" applyFill="1" applyBorder="1" applyAlignment="1" applyProtection="1">
      <alignment vertical="top" wrapText="1"/>
      <protection/>
    </xf>
    <xf numFmtId="0" fontId="10" fillId="13" borderId="0" xfId="0" applyFont="1" applyFill="1" applyBorder="1" applyAlignment="1" applyProtection="1">
      <alignment vertical="top" wrapText="1"/>
      <protection/>
    </xf>
    <xf numFmtId="0" fontId="10" fillId="13" borderId="45" xfId="0" applyFont="1" applyFill="1" applyBorder="1" applyAlignment="1" applyProtection="1">
      <alignment vertical="top" wrapText="1"/>
      <protection/>
    </xf>
    <xf numFmtId="0" fontId="10" fillId="7" borderId="36" xfId="0" applyFont="1" applyFill="1" applyBorder="1" applyAlignment="1" applyProtection="1">
      <alignment vertical="top" wrapText="1"/>
      <protection/>
    </xf>
    <xf numFmtId="0" fontId="10" fillId="7" borderId="0" xfId="0" applyFont="1" applyFill="1" applyBorder="1" applyAlignment="1" applyProtection="1">
      <alignment vertical="top" wrapText="1"/>
      <protection/>
    </xf>
    <xf numFmtId="0" fontId="10" fillId="7" borderId="45" xfId="0" applyFont="1" applyFill="1" applyBorder="1" applyAlignment="1" applyProtection="1">
      <alignment vertical="top" wrapText="1"/>
      <protection/>
    </xf>
    <xf numFmtId="0" fontId="10" fillId="13" borderId="27" xfId="0" applyFont="1" applyFill="1" applyBorder="1" applyAlignment="1" applyProtection="1">
      <alignment vertical="top" wrapText="1"/>
      <protection/>
    </xf>
    <xf numFmtId="0" fontId="10" fillId="13" borderId="10" xfId="0" applyFont="1" applyFill="1" applyBorder="1" applyAlignment="1" applyProtection="1">
      <alignment vertical="top" wrapText="1"/>
      <protection/>
    </xf>
    <xf numFmtId="0" fontId="10" fillId="13" borderId="49" xfId="0" applyFont="1" applyFill="1" applyBorder="1" applyAlignment="1" applyProtection="1">
      <alignment vertical="top" wrapText="1"/>
      <protection/>
    </xf>
    <xf numFmtId="171" fontId="5" fillId="34" borderId="85" xfId="54" applyFont="1" applyFill="1" applyBorder="1" applyAlignment="1" applyProtection="1">
      <alignment horizontal="center" vertical="center" wrapText="1"/>
      <protection/>
    </xf>
    <xf numFmtId="171" fontId="5" fillId="34" borderId="29" xfId="54" applyFont="1" applyFill="1" applyBorder="1" applyAlignment="1" applyProtection="1">
      <alignment horizontal="center" vertical="center" wrapText="1"/>
      <protection/>
    </xf>
    <xf numFmtId="171" fontId="5" fillId="19" borderId="92" xfId="54" applyFont="1" applyFill="1" applyBorder="1" applyAlignment="1" applyProtection="1">
      <alignment horizontal="center" vertical="center" wrapText="1"/>
      <protection/>
    </xf>
    <xf numFmtId="171" fontId="5" fillId="19" borderId="62" xfId="54" applyFont="1" applyFill="1" applyBorder="1" applyAlignment="1" applyProtection="1">
      <alignment horizontal="center" vertical="center" wrapText="1"/>
      <protection/>
    </xf>
    <xf numFmtId="171" fontId="5" fillId="19" borderId="93" xfId="54" applyFont="1" applyFill="1" applyBorder="1" applyAlignment="1" applyProtection="1">
      <alignment horizontal="center" vertical="center" wrapText="1"/>
      <protection/>
    </xf>
    <xf numFmtId="171" fontId="5" fillId="19" borderId="63" xfId="54" applyFont="1" applyFill="1" applyBorder="1" applyAlignment="1" applyProtection="1">
      <alignment horizontal="center" vertical="center" wrapText="1"/>
      <protection/>
    </xf>
    <xf numFmtId="0" fontId="13" fillId="19" borderId="50" xfId="0" applyFont="1" applyFill="1" applyBorder="1" applyAlignment="1" applyProtection="1">
      <alignment horizontal="center" vertical="center"/>
      <protection/>
    </xf>
    <xf numFmtId="0" fontId="13" fillId="19" borderId="55" xfId="0" applyFont="1" applyFill="1" applyBorder="1" applyAlignment="1" applyProtection="1">
      <alignment horizontal="center" vertical="center"/>
      <protection/>
    </xf>
    <xf numFmtId="0" fontId="13" fillId="19" borderId="52" xfId="0" applyFont="1" applyFill="1" applyBorder="1" applyAlignment="1" applyProtection="1">
      <alignment horizontal="center" vertical="center"/>
      <protection/>
    </xf>
    <xf numFmtId="0" fontId="13" fillId="19" borderId="27" xfId="0" applyFont="1" applyFill="1" applyBorder="1" applyAlignment="1" applyProtection="1">
      <alignment horizontal="center" vertical="center"/>
      <protection/>
    </xf>
    <xf numFmtId="0" fontId="13" fillId="19" borderId="10" xfId="0" applyFont="1" applyFill="1" applyBorder="1" applyAlignment="1" applyProtection="1">
      <alignment horizontal="center" vertical="center"/>
      <protection/>
    </xf>
    <xf numFmtId="0" fontId="13" fillId="19" borderId="49" xfId="0" applyFont="1" applyFill="1" applyBorder="1" applyAlignment="1" applyProtection="1">
      <alignment horizontal="center" vertical="center"/>
      <protection/>
    </xf>
    <xf numFmtId="0" fontId="10" fillId="7" borderId="50" xfId="0" applyFont="1" applyFill="1" applyBorder="1" applyAlignment="1" applyProtection="1">
      <alignment vertical="top" wrapText="1"/>
      <protection/>
    </xf>
    <xf numFmtId="0" fontId="10" fillId="7" borderId="55" xfId="0" applyFont="1" applyFill="1" applyBorder="1" applyAlignment="1" applyProtection="1">
      <alignment vertical="top" wrapText="1"/>
      <protection/>
    </xf>
    <xf numFmtId="0" fontId="10" fillId="7" borderId="52" xfId="0" applyFont="1" applyFill="1" applyBorder="1" applyAlignment="1" applyProtection="1">
      <alignment vertical="top" wrapText="1"/>
      <protection/>
    </xf>
    <xf numFmtId="0" fontId="9" fillId="19" borderId="37" xfId="0" applyFont="1" applyFill="1" applyBorder="1" applyAlignment="1" applyProtection="1">
      <alignment horizontal="left"/>
      <protection/>
    </xf>
    <xf numFmtId="0" fontId="9" fillId="19" borderId="54" xfId="0" applyFont="1" applyFill="1" applyBorder="1" applyAlignment="1" applyProtection="1">
      <alignment horizontal="left"/>
      <protection/>
    </xf>
    <xf numFmtId="0" fontId="9" fillId="19" borderId="53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71" fontId="8" fillId="0" borderId="94" xfId="54" applyFont="1" applyBorder="1" applyAlignment="1" applyProtection="1">
      <alignment horizontal="right"/>
      <protection/>
    </xf>
    <xf numFmtId="171" fontId="8" fillId="0" borderId="78" xfId="54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shrinkToFit="1"/>
      <protection/>
    </xf>
    <xf numFmtId="0" fontId="5" fillId="0" borderId="54" xfId="0" applyFont="1" applyFill="1" applyBorder="1" applyAlignment="1" applyProtection="1">
      <alignment shrinkToFit="1"/>
      <protection/>
    </xf>
    <xf numFmtId="0" fontId="5" fillId="0" borderId="53" xfId="0" applyFont="1" applyFill="1" applyBorder="1" applyAlignment="1" applyProtection="1">
      <alignment shrinkToFit="1"/>
      <protection/>
    </xf>
    <xf numFmtId="0" fontId="5" fillId="0" borderId="37" xfId="0" applyFont="1" applyFill="1" applyBorder="1" applyAlignment="1" applyProtection="1">
      <alignment horizontal="center" shrinkToFit="1"/>
      <protection/>
    </xf>
    <xf numFmtId="0" fontId="5" fillId="0" borderId="54" xfId="0" applyFont="1" applyFill="1" applyBorder="1" applyAlignment="1" applyProtection="1">
      <alignment horizontal="center" shrinkToFit="1"/>
      <protection/>
    </xf>
    <xf numFmtId="0" fontId="5" fillId="0" borderId="53" xfId="0" applyFont="1" applyFill="1" applyBorder="1" applyAlignment="1" applyProtection="1">
      <alignment horizontal="center" shrinkToFit="1"/>
      <protection/>
    </xf>
    <xf numFmtId="0" fontId="5" fillId="33" borderId="50" xfId="0" applyFont="1" applyFill="1" applyBorder="1" applyAlignment="1" applyProtection="1">
      <alignment horizontal="center" vertical="center" textRotation="90" wrapText="1"/>
      <protection/>
    </xf>
    <xf numFmtId="0" fontId="5" fillId="33" borderId="27" xfId="0" applyFont="1" applyFill="1" applyBorder="1" applyAlignment="1" applyProtection="1">
      <alignment horizontal="center" vertical="center" textRotation="90" wrapText="1"/>
      <protection/>
    </xf>
    <xf numFmtId="0" fontId="5" fillId="33" borderId="93" xfId="0" applyFont="1" applyFill="1" applyBorder="1" applyAlignment="1" applyProtection="1">
      <alignment horizontal="center" vertical="center"/>
      <protection/>
    </xf>
    <xf numFmtId="0" fontId="5" fillId="33" borderId="63" xfId="0" applyFont="1" applyFill="1" applyBorder="1" applyAlignment="1" applyProtection="1">
      <alignment horizontal="center" vertical="center"/>
      <protection/>
    </xf>
    <xf numFmtId="0" fontId="62" fillId="48" borderId="30" xfId="0" applyFont="1" applyFill="1" applyBorder="1" applyAlignment="1" applyProtection="1">
      <alignment horizontal="center"/>
      <protection/>
    </xf>
    <xf numFmtId="0" fontId="62" fillId="48" borderId="11" xfId="0" applyFont="1" applyFill="1" applyBorder="1" applyAlignment="1" applyProtection="1">
      <alignment horizontal="center"/>
      <protection/>
    </xf>
    <xf numFmtId="0" fontId="62" fillId="48" borderId="12" xfId="0" applyFont="1" applyFill="1" applyBorder="1" applyAlignment="1" applyProtection="1">
      <alignment horizontal="center"/>
      <protection/>
    </xf>
    <xf numFmtId="0" fontId="5" fillId="33" borderId="85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6" fillId="46" borderId="36" xfId="0" applyFont="1" applyFill="1" applyBorder="1" applyAlignment="1" applyProtection="1">
      <alignment horizontal="center" vertical="center" wrapText="1"/>
      <protection/>
    </xf>
    <xf numFmtId="0" fontId="6" fillId="46" borderId="0" xfId="0" applyFont="1" applyFill="1" applyBorder="1" applyAlignment="1" applyProtection="1">
      <alignment horizontal="center" vertical="center" wrapText="1"/>
      <protection/>
    </xf>
    <xf numFmtId="171" fontId="5" fillId="33" borderId="93" xfId="54" applyFont="1" applyFill="1" applyBorder="1" applyAlignment="1" applyProtection="1">
      <alignment horizontal="center" vertical="center" wrapText="1"/>
      <protection/>
    </xf>
    <xf numFmtId="171" fontId="5" fillId="33" borderId="63" xfId="54" applyFont="1" applyFill="1" applyBorder="1" applyAlignment="1" applyProtection="1">
      <alignment horizontal="center" vertical="center" wrapText="1"/>
      <protection/>
    </xf>
    <xf numFmtId="0" fontId="6" fillId="46" borderId="0" xfId="0" applyFont="1" applyFill="1" applyAlignment="1" applyProtection="1">
      <alignment horizontal="center" vertical="center"/>
      <protection/>
    </xf>
    <xf numFmtId="171" fontId="5" fillId="47" borderId="0" xfId="0" applyNumberFormat="1" applyFont="1" applyFill="1" applyAlignment="1" applyProtection="1">
      <alignment horizontal="center" vertical="center"/>
      <protection/>
    </xf>
    <xf numFmtId="0" fontId="6" fillId="38" borderId="0" xfId="0" applyFont="1" applyFill="1" applyAlignment="1" applyProtection="1">
      <alignment horizontal="center" vertical="center" wrapText="1" shrinkToFit="1"/>
      <protection/>
    </xf>
    <xf numFmtId="0" fontId="70" fillId="0" borderId="37" xfId="0" applyFont="1" applyBorder="1" applyAlignment="1" applyProtection="1">
      <alignment horizontal="justify" vertical="center" wrapText="1"/>
      <protection/>
    </xf>
    <xf numFmtId="0" fontId="70" fillId="0" borderId="54" xfId="0" applyFont="1" applyBorder="1" applyAlignment="1" applyProtection="1">
      <alignment horizontal="justify" vertical="center" wrapText="1"/>
      <protection/>
    </xf>
    <xf numFmtId="0" fontId="71" fillId="0" borderId="53" xfId="0" applyFont="1" applyBorder="1" applyAlignment="1">
      <alignment horizontal="justify" vertical="center" wrapText="1"/>
    </xf>
    <xf numFmtId="0" fontId="4" fillId="7" borderId="65" xfId="0" applyFont="1" applyFill="1" applyBorder="1" applyAlignment="1" applyProtection="1">
      <alignment horizontal="center" vertical="center"/>
      <protection/>
    </xf>
    <xf numFmtId="0" fontId="4" fillId="7" borderId="68" xfId="0" applyFont="1" applyFill="1" applyBorder="1" applyAlignment="1" applyProtection="1">
      <alignment horizontal="center" vertical="center"/>
      <protection/>
    </xf>
    <xf numFmtId="0" fontId="4" fillId="7" borderId="71" xfId="0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 applyProtection="1">
      <alignment horizontal="center" vertical="center"/>
      <protection/>
    </xf>
    <xf numFmtId="0" fontId="5" fillId="33" borderId="52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49" xfId="0" applyFont="1" applyFill="1" applyBorder="1" applyAlignment="1" applyProtection="1">
      <alignment horizontal="center" vertical="center"/>
      <protection/>
    </xf>
    <xf numFmtId="171" fontId="5" fillId="33" borderId="92" xfId="54" applyFont="1" applyFill="1" applyBorder="1" applyAlignment="1" applyProtection="1">
      <alignment horizontal="center" vertical="center" wrapText="1"/>
      <protection/>
    </xf>
    <xf numFmtId="171" fontId="5" fillId="33" borderId="62" xfId="54" applyFont="1" applyFill="1" applyBorder="1" applyAlignment="1" applyProtection="1">
      <alignment horizontal="center" vertical="center" wrapText="1"/>
      <protection/>
    </xf>
    <xf numFmtId="0" fontId="4" fillId="19" borderId="77" xfId="0" applyFont="1" applyFill="1" applyBorder="1" applyAlignment="1" applyProtection="1">
      <alignment horizontal="center" vertical="center"/>
      <protection/>
    </xf>
    <xf numFmtId="0" fontId="4" fillId="19" borderId="69" xfId="0" applyFont="1" applyFill="1" applyBorder="1" applyAlignment="1" applyProtection="1">
      <alignment horizontal="center" vertical="center"/>
      <protection/>
    </xf>
    <xf numFmtId="0" fontId="4" fillId="19" borderId="79" xfId="0" applyFont="1" applyFill="1" applyBorder="1" applyAlignment="1" applyProtection="1">
      <alignment horizontal="center" vertical="center"/>
      <protection/>
    </xf>
    <xf numFmtId="0" fontId="4" fillId="44" borderId="67" xfId="0" applyFont="1" applyFill="1" applyBorder="1" applyAlignment="1" applyProtection="1">
      <alignment horizontal="center" vertical="center"/>
      <protection/>
    </xf>
    <xf numFmtId="0" fontId="4" fillId="44" borderId="70" xfId="0" applyFont="1" applyFill="1" applyBorder="1" applyAlignment="1" applyProtection="1">
      <alignment horizontal="center" vertical="center"/>
      <protection/>
    </xf>
    <xf numFmtId="0" fontId="4" fillId="44" borderId="8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left" shrinkToFit="1"/>
      <protection/>
    </xf>
    <xf numFmtId="0" fontId="5" fillId="0" borderId="54" xfId="0" applyFont="1" applyFill="1" applyBorder="1" applyAlignment="1" applyProtection="1">
      <alignment horizontal="left" shrinkToFit="1"/>
      <protection/>
    </xf>
    <xf numFmtId="0" fontId="5" fillId="0" borderId="53" xfId="0" applyFont="1" applyFill="1" applyBorder="1" applyAlignment="1" applyProtection="1">
      <alignment horizontal="left" shrinkToFit="1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right" vertical="center"/>
      <protection hidden="1"/>
    </xf>
    <xf numFmtId="0" fontId="5" fillId="0" borderId="95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54" xfId="0" applyFont="1" applyBorder="1" applyAlignment="1" applyProtection="1">
      <alignment horizontal="center"/>
      <protection hidden="1"/>
    </xf>
    <xf numFmtId="0" fontId="5" fillId="0" borderId="54" xfId="0" applyFont="1" applyFill="1" applyBorder="1" applyAlignment="1" applyProtection="1">
      <alignment horizontal="right" vertical="center"/>
      <protection hidden="1"/>
    </xf>
    <xf numFmtId="0" fontId="5" fillId="0" borderId="20" xfId="0" applyFont="1" applyFill="1" applyBorder="1" applyAlignment="1" applyProtection="1">
      <alignment horizontal="right" vertical="center"/>
      <protection hidden="1"/>
    </xf>
    <xf numFmtId="0" fontId="5" fillId="0" borderId="37" xfId="0" applyFont="1" applyBorder="1" applyAlignment="1" applyProtection="1">
      <alignment horizontal="center" shrinkToFit="1"/>
      <protection hidden="1"/>
    </xf>
    <xf numFmtId="0" fontId="5" fillId="0" borderId="53" xfId="0" applyFont="1" applyBorder="1" applyAlignment="1" applyProtection="1">
      <alignment horizontal="center" shrinkToFit="1"/>
      <protection hidden="1"/>
    </xf>
    <xf numFmtId="0" fontId="5" fillId="0" borderId="13" xfId="0" applyFont="1" applyFill="1" applyBorder="1" applyAlignment="1" applyProtection="1">
      <alignment horizontal="right" vertical="center"/>
      <protection hidden="1"/>
    </xf>
    <xf numFmtId="0" fontId="5" fillId="0" borderId="53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 wrapText="1"/>
      <protection hidden="1"/>
    </xf>
    <xf numFmtId="0" fontId="10" fillId="0" borderId="55" xfId="0" applyFont="1" applyFill="1" applyBorder="1" applyAlignment="1" applyProtection="1">
      <alignment horizontal="center" vertical="center" wrapText="1"/>
      <protection hidden="1"/>
    </xf>
    <xf numFmtId="0" fontId="10" fillId="0" borderId="52" xfId="0" applyFont="1" applyFill="1" applyBorder="1" applyAlignment="1" applyProtection="1">
      <alignment horizontal="center" vertical="center" wrapText="1"/>
      <protection hidden="1"/>
    </xf>
    <xf numFmtId="0" fontId="4" fillId="0" borderId="46" xfId="0" applyFont="1" applyFill="1" applyBorder="1" applyAlignment="1" applyProtection="1">
      <alignment horizontal="center" vertical="center" wrapText="1"/>
      <protection hidden="1"/>
    </xf>
    <xf numFmtId="0" fontId="4" fillId="0" borderId="47" xfId="0" applyFont="1" applyFill="1" applyBorder="1" applyAlignment="1" applyProtection="1">
      <alignment horizontal="center" vertical="center" wrapText="1"/>
      <protection hidden="1"/>
    </xf>
    <xf numFmtId="0" fontId="4" fillId="0" borderId="48" xfId="0" applyFont="1" applyFill="1" applyBorder="1" applyAlignment="1" applyProtection="1">
      <alignment horizontal="center" vertical="center" wrapText="1"/>
      <protection hidden="1"/>
    </xf>
    <xf numFmtId="171" fontId="11" fillId="0" borderId="0" xfId="54" applyFont="1" applyAlignment="1" applyProtection="1">
      <alignment horizontal="center"/>
      <protection hidden="1"/>
    </xf>
    <xf numFmtId="0" fontId="5" fillId="0" borderId="96" xfId="0" applyFont="1" applyFill="1" applyBorder="1" applyAlignment="1" applyProtection="1">
      <alignment horizontal="center" vertical="center" wrapText="1"/>
      <protection hidden="1"/>
    </xf>
    <xf numFmtId="0" fontId="5" fillId="0" borderId="89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3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45" xfId="0" applyFont="1" applyFill="1" applyBorder="1" applyAlignment="1" applyProtection="1">
      <alignment horizontal="center" vertical="center" wrapText="1"/>
      <protection hidden="1"/>
    </xf>
    <xf numFmtId="0" fontId="10" fillId="0" borderId="50" xfId="0" applyFont="1" applyFill="1" applyBorder="1" applyAlignment="1" applyProtection="1">
      <alignment horizontal="left" vertical="center"/>
      <protection hidden="1"/>
    </xf>
    <xf numFmtId="0" fontId="10" fillId="0" borderId="27" xfId="0" applyFont="1" applyFill="1" applyBorder="1" applyAlignment="1" applyProtection="1">
      <alignment horizontal="left" vertical="center"/>
      <protection hidden="1"/>
    </xf>
    <xf numFmtId="171" fontId="10" fillId="0" borderId="55" xfId="54" applyFont="1" applyFill="1" applyBorder="1" applyAlignment="1" applyProtection="1">
      <alignment horizontal="right" vertical="center"/>
      <protection hidden="1"/>
    </xf>
    <xf numFmtId="171" fontId="10" fillId="0" borderId="10" xfId="54" applyFont="1" applyFill="1" applyBorder="1" applyAlignment="1" applyProtection="1">
      <alignment horizontal="right" vertical="center"/>
      <protection hidden="1"/>
    </xf>
    <xf numFmtId="0" fontId="10" fillId="0" borderId="52" xfId="0" applyFont="1" applyFill="1" applyBorder="1" applyAlignment="1" applyProtection="1">
      <alignment horizontal="center"/>
      <protection hidden="1"/>
    </xf>
    <xf numFmtId="0" fontId="10" fillId="0" borderId="49" xfId="0" applyFont="1" applyFill="1" applyBorder="1" applyAlignment="1" applyProtection="1">
      <alignment horizontal="center"/>
      <protection hidden="1"/>
    </xf>
    <xf numFmtId="0" fontId="9" fillId="0" borderId="46" xfId="0" applyFont="1" applyFill="1" applyBorder="1" applyAlignment="1" applyProtection="1">
      <alignment horizontal="center"/>
      <protection hidden="1"/>
    </xf>
    <xf numFmtId="0" fontId="9" fillId="0" borderId="47" xfId="0" applyFont="1" applyFill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justify" vertical="top" wrapText="1" shrinkToFit="1"/>
      <protection locked="0"/>
    </xf>
    <xf numFmtId="0" fontId="0" fillId="0" borderId="0" xfId="0" applyAlignment="1">
      <alignment horizontal="justify" vertical="top" wrapText="1"/>
    </xf>
    <xf numFmtId="0" fontId="0" fillId="0" borderId="45" xfId="0" applyBorder="1" applyAlignment="1">
      <alignment horizontal="justify" vertical="top" wrapText="1"/>
    </xf>
    <xf numFmtId="0" fontId="0" fillId="0" borderId="36" xfId="0" applyBorder="1" applyAlignment="1">
      <alignment horizontal="justify" vertical="top" wrapText="1"/>
    </xf>
    <xf numFmtId="0" fontId="0" fillId="0" borderId="27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49" xfId="0" applyBorder="1" applyAlignment="1">
      <alignment horizontal="justify" vertical="top" wrapText="1"/>
    </xf>
    <xf numFmtId="0" fontId="10" fillId="0" borderId="3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9" fillId="0" borderId="96" xfId="0" applyFont="1" applyFill="1" applyBorder="1" applyAlignment="1" applyProtection="1">
      <alignment horizontal="center" vertical="center" wrapText="1"/>
      <protection hidden="1"/>
    </xf>
    <xf numFmtId="0" fontId="9" fillId="0" borderId="89" xfId="0" applyFont="1" applyFill="1" applyBorder="1" applyAlignment="1" applyProtection="1">
      <alignment horizontal="center" vertical="center" wrapText="1"/>
      <protection hidden="1"/>
    </xf>
    <xf numFmtId="0" fontId="9" fillId="0" borderId="73" xfId="0" applyFont="1" applyFill="1" applyBorder="1" applyAlignment="1" applyProtection="1">
      <alignment horizontal="center" vertical="center" wrapText="1"/>
      <protection hidden="1"/>
    </xf>
    <xf numFmtId="0" fontId="9" fillId="0" borderId="36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45" xfId="0" applyFont="1" applyFill="1" applyBorder="1" applyAlignment="1" applyProtection="1">
      <alignment horizontal="center" vertical="center" wrapText="1"/>
      <protection hidden="1"/>
    </xf>
    <xf numFmtId="0" fontId="9" fillId="0" borderId="46" xfId="0" applyFont="1" applyFill="1" applyBorder="1" applyAlignment="1" applyProtection="1">
      <alignment horizontal="center" vertical="center" wrapText="1"/>
      <protection hidden="1"/>
    </xf>
    <xf numFmtId="0" fontId="9" fillId="0" borderId="47" xfId="0" applyFont="1" applyFill="1" applyBorder="1" applyAlignment="1" applyProtection="1">
      <alignment horizontal="center" vertical="center" wrapText="1"/>
      <protection hidden="1"/>
    </xf>
    <xf numFmtId="0" fontId="9" fillId="0" borderId="48" xfId="0" applyFont="1" applyFill="1" applyBorder="1" applyAlignment="1" applyProtection="1">
      <alignment horizontal="center" vertical="center" wrapText="1"/>
      <protection hidden="1"/>
    </xf>
    <xf numFmtId="3" fontId="10" fillId="0" borderId="36" xfId="0" applyNumberFormat="1" applyFont="1" applyFill="1" applyBorder="1" applyAlignment="1" applyProtection="1">
      <alignment horizontal="left" vertical="center"/>
      <protection locked="0"/>
    </xf>
    <xf numFmtId="3" fontId="10" fillId="0" borderId="90" xfId="0" applyNumberFormat="1" applyFont="1" applyFill="1" applyBorder="1" applyAlignment="1" applyProtection="1">
      <alignment horizontal="left" vertical="center"/>
      <protection locked="0"/>
    </xf>
    <xf numFmtId="0" fontId="10" fillId="0" borderId="36" xfId="0" applyFont="1" applyFill="1" applyBorder="1" applyAlignment="1" applyProtection="1">
      <alignment horizontal="left" vertical="justify" wrapText="1"/>
      <protection hidden="1"/>
    </xf>
    <xf numFmtId="0" fontId="10" fillId="0" borderId="0" xfId="0" applyFont="1" applyFill="1" applyBorder="1" applyAlignment="1" applyProtection="1">
      <alignment horizontal="left" vertical="justify" wrapText="1"/>
      <protection hidden="1"/>
    </xf>
    <xf numFmtId="0" fontId="10" fillId="0" borderId="45" xfId="0" applyFont="1" applyFill="1" applyBorder="1" applyAlignment="1" applyProtection="1">
      <alignment horizontal="left" vertical="justify" wrapText="1"/>
      <protection hidden="1"/>
    </xf>
    <xf numFmtId="0" fontId="10" fillId="0" borderId="55" xfId="0" applyFont="1" applyFill="1" applyBorder="1" applyAlignment="1" applyProtection="1">
      <alignment horizontal="left" vertical="center"/>
      <protection hidden="1"/>
    </xf>
    <xf numFmtId="0" fontId="10" fillId="0" borderId="52" xfId="0" applyFont="1" applyFill="1" applyBorder="1" applyAlignment="1" applyProtection="1">
      <alignment horizontal="left" vertical="center"/>
      <protection hidden="1"/>
    </xf>
    <xf numFmtId="0" fontId="10" fillId="0" borderId="46" xfId="0" applyFont="1" applyFill="1" applyBorder="1" applyAlignment="1" applyProtection="1">
      <alignment horizontal="center" vertical="center" wrapText="1"/>
      <protection hidden="1"/>
    </xf>
    <xf numFmtId="0" fontId="10" fillId="0" borderId="47" xfId="0" applyFont="1" applyFill="1" applyBorder="1" applyAlignment="1" applyProtection="1">
      <alignment horizontal="center" vertical="center" wrapText="1"/>
      <protection hidden="1"/>
    </xf>
    <xf numFmtId="0" fontId="10" fillId="0" borderId="48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9" fillId="0" borderId="50" xfId="0" applyFont="1" applyFill="1" applyBorder="1" applyAlignment="1" applyProtection="1">
      <alignment horizontal="center" vertical="center" wrapText="1"/>
      <protection hidden="1"/>
    </xf>
    <xf numFmtId="0" fontId="9" fillId="0" borderId="55" xfId="0" applyFont="1" applyFill="1" applyBorder="1" applyAlignment="1" applyProtection="1">
      <alignment horizontal="center" vertical="center" wrapText="1"/>
      <protection hidden="1"/>
    </xf>
    <xf numFmtId="0" fontId="9" fillId="0" borderId="52" xfId="0" applyFont="1" applyFill="1" applyBorder="1" applyAlignment="1" applyProtection="1">
      <alignment horizontal="center" vertical="center" wrapText="1"/>
      <protection hidden="1"/>
    </xf>
    <xf numFmtId="10" fontId="10" fillId="0" borderId="81" xfId="52" applyNumberFormat="1" applyFont="1" applyFill="1" applyBorder="1" applyAlignment="1" applyProtection="1">
      <alignment horizontal="right" vertical="center"/>
      <protection hidden="1"/>
    </xf>
    <xf numFmtId="0" fontId="68" fillId="0" borderId="0" xfId="0" applyFont="1" applyAlignment="1" applyProtection="1">
      <alignment horizontal="center"/>
      <protection hidden="1"/>
    </xf>
    <xf numFmtId="3" fontId="10" fillId="0" borderId="36" xfId="0" applyNumberFormat="1" applyFont="1" applyFill="1" applyBorder="1" applyAlignment="1" applyProtection="1">
      <alignment horizontal="center" vertical="center"/>
      <protection hidden="1"/>
    </xf>
    <xf numFmtId="171" fontId="10" fillId="0" borderId="44" xfId="54" applyFont="1" applyFill="1" applyBorder="1" applyAlignment="1" applyProtection="1">
      <alignment horizontal="right" vertical="center"/>
      <protection locked="0"/>
    </xf>
    <xf numFmtId="0" fontId="9" fillId="0" borderId="37" xfId="0" applyFont="1" applyFill="1" applyBorder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7" xfId="0" applyFont="1" applyFill="1" applyBorder="1" applyAlignment="1" applyProtection="1">
      <alignment horizontal="center" vertical="center"/>
      <protection hidden="1"/>
    </xf>
    <xf numFmtId="0" fontId="10" fillId="0" borderId="95" xfId="0" applyFont="1" applyFill="1" applyBorder="1" applyAlignment="1" applyProtection="1">
      <alignment horizontal="center" vertical="center"/>
      <protection hidden="1"/>
    </xf>
    <xf numFmtId="3" fontId="10" fillId="0" borderId="50" xfId="0" applyNumberFormat="1" applyFont="1" applyFill="1" applyBorder="1" applyAlignment="1" applyProtection="1">
      <alignment horizontal="center"/>
      <protection hidden="1"/>
    </xf>
    <xf numFmtId="3" fontId="10" fillId="0" borderId="97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68" fillId="0" borderId="0" xfId="0" applyFont="1" applyAlignment="1" applyProtection="1">
      <alignment horizontal="left"/>
      <protection locked="0"/>
    </xf>
    <xf numFmtId="0" fontId="9" fillId="0" borderId="96" xfId="0" applyFont="1" applyFill="1" applyBorder="1" applyAlignment="1" applyProtection="1">
      <alignment horizontal="center" vertical="center" wrapText="1"/>
      <protection locked="0"/>
    </xf>
    <xf numFmtId="0" fontId="9" fillId="0" borderId="89" xfId="0" applyFont="1" applyFill="1" applyBorder="1" applyAlignment="1" applyProtection="1">
      <alignment horizontal="center" vertical="center" wrapText="1"/>
      <protection locked="0"/>
    </xf>
    <xf numFmtId="0" fontId="9" fillId="0" borderId="73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 applyProtection="1">
      <alignment horizontal="center"/>
      <protection locked="0"/>
    </xf>
    <xf numFmtId="0" fontId="9" fillId="0" borderId="47" xfId="0" applyFont="1" applyFill="1" applyBorder="1" applyAlignment="1" applyProtection="1">
      <alignment horizontal="center"/>
      <protection locked="0"/>
    </xf>
    <xf numFmtId="10" fontId="10" fillId="0" borderId="81" xfId="52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/>
    </xf>
    <xf numFmtId="0" fontId="68" fillId="0" borderId="0" xfId="0" applyFont="1" applyAlignment="1" applyProtection="1">
      <alignment horizontal="left"/>
      <protection hidden="1"/>
    </xf>
    <xf numFmtId="0" fontId="10" fillId="0" borderId="90" xfId="0" applyFont="1" applyFill="1" applyBorder="1" applyAlignment="1" applyProtection="1">
      <alignment horizontal="left" vertical="center"/>
      <protection hidden="1"/>
    </xf>
    <xf numFmtId="171" fontId="10" fillId="0" borderId="36" xfId="54" applyFont="1" applyFill="1" applyBorder="1" applyAlignment="1" applyProtection="1">
      <alignment horizontal="left" vertical="center"/>
      <protection hidden="1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238125</xdr:colOff>
      <xdr:row>4</xdr:row>
      <xdr:rowOff>123825</xdr:rowOff>
    </xdr:from>
    <xdr:to>
      <xdr:col>15</xdr:col>
      <xdr:colOff>742950</xdr:colOff>
      <xdr:row>4</xdr:row>
      <xdr:rowOff>476250</xdr:rowOff>
    </xdr:to>
    <xdr:pic>
      <xdr:nvPicPr>
        <xdr:cNvPr id="1" name="Imagem 1" descr="*CUIDADO!* Usado para limpar todos os Dados inseridos na Planilha!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07050" y="82867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76200</xdr:rowOff>
    </xdr:from>
    <xdr:to>
      <xdr:col>3</xdr:col>
      <xdr:colOff>123825</xdr:colOff>
      <xdr:row>7</xdr:row>
      <xdr:rowOff>0</xdr:rowOff>
    </xdr:to>
    <xdr:pic>
      <xdr:nvPicPr>
        <xdr:cNvPr id="1" name="Picture 249" descr="chã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76200"/>
          <a:ext cx="11239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19</xdr:row>
      <xdr:rowOff>114300</xdr:rowOff>
    </xdr:from>
    <xdr:to>
      <xdr:col>14</xdr:col>
      <xdr:colOff>514350</xdr:colOff>
      <xdr:row>26</xdr:row>
      <xdr:rowOff>152400</xdr:rowOff>
    </xdr:to>
    <xdr:sp>
      <xdr:nvSpPr>
        <xdr:cNvPr id="1" name="Texto explicativo em seta para a esquerda 4"/>
        <xdr:cNvSpPr>
          <a:spLocks/>
        </xdr:cNvSpPr>
      </xdr:nvSpPr>
      <xdr:spPr>
        <a:xfrm>
          <a:off x="13249275" y="3219450"/>
          <a:ext cx="2876550" cy="1238250"/>
        </a:xfrm>
        <a:prstGeom prst="leftArrowCallout">
          <a:avLst>
            <a:gd name="adj1" fmla="val -14976"/>
            <a:gd name="adj2" fmla="val -39337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ATENÇÃO
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Selecionar as despesas que serão desconsideradas para fins de limite constitucional</a:t>
          </a:r>
        </a:p>
      </xdr:txBody>
    </xdr:sp>
    <xdr:clientData/>
  </xdr:twoCellAnchor>
  <xdr:twoCellAnchor>
    <xdr:from>
      <xdr:col>27</xdr:col>
      <xdr:colOff>457200</xdr:colOff>
      <xdr:row>32</xdr:row>
      <xdr:rowOff>123825</xdr:rowOff>
    </xdr:from>
    <xdr:to>
      <xdr:col>27</xdr:col>
      <xdr:colOff>2647950</xdr:colOff>
      <xdr:row>36</xdr:row>
      <xdr:rowOff>38100</xdr:rowOff>
    </xdr:to>
    <xdr:sp>
      <xdr:nvSpPr>
        <xdr:cNvPr id="2" name="Texto explicativo em seta para a esquerda 5"/>
        <xdr:cNvSpPr>
          <a:spLocks/>
        </xdr:cNvSpPr>
      </xdr:nvSpPr>
      <xdr:spPr>
        <a:xfrm>
          <a:off x="30413325" y="5457825"/>
          <a:ext cx="2190750" cy="600075"/>
        </a:xfrm>
        <a:prstGeom prst="leftArrowCallout">
          <a:avLst>
            <a:gd name="adj1" fmla="val -14976"/>
            <a:gd name="adj2" fmla="val -4315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CADASTRAR
</a:t>
          </a:r>
          <a:r>
            <a:rPr lang="en-US" cap="none" sz="1000" b="0" i="0" u="none" baseline="0">
              <a:solidFill>
                <a:srgbClr val="FF0000"/>
              </a:solidFill>
            </a:rPr>
            <a:t>Nova</a:t>
          </a:r>
          <a:r>
            <a:rPr lang="en-US" cap="none" sz="1000" b="0" i="0" u="none" baseline="0">
              <a:solidFill>
                <a:srgbClr val="FF0000"/>
              </a:solidFill>
            </a:rPr>
            <a:t> subfunção</a:t>
          </a:r>
        </a:p>
      </xdr:txBody>
    </xdr:sp>
    <xdr:clientData/>
  </xdr:twoCellAnchor>
  <xdr:twoCellAnchor>
    <xdr:from>
      <xdr:col>2</xdr:col>
      <xdr:colOff>19050</xdr:colOff>
      <xdr:row>0</xdr:row>
      <xdr:rowOff>76200</xdr:rowOff>
    </xdr:from>
    <xdr:to>
      <xdr:col>4</xdr:col>
      <xdr:colOff>104775</xdr:colOff>
      <xdr:row>5</xdr:row>
      <xdr:rowOff>114300</xdr:rowOff>
    </xdr:to>
    <xdr:pic>
      <xdr:nvPicPr>
        <xdr:cNvPr id="3" name="Picture 249" descr="chã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762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57150</xdr:rowOff>
    </xdr:from>
    <xdr:to>
      <xdr:col>4</xdr:col>
      <xdr:colOff>457200</xdr:colOff>
      <xdr:row>6</xdr:row>
      <xdr:rowOff>104775</xdr:rowOff>
    </xdr:to>
    <xdr:pic>
      <xdr:nvPicPr>
        <xdr:cNvPr id="1" name="Picture 249" descr="chã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4765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85725</xdr:rowOff>
    </xdr:from>
    <xdr:to>
      <xdr:col>4</xdr:col>
      <xdr:colOff>457200</xdr:colOff>
      <xdr:row>6</xdr:row>
      <xdr:rowOff>114300</xdr:rowOff>
    </xdr:to>
    <xdr:pic>
      <xdr:nvPicPr>
        <xdr:cNvPr id="1" name="Picture 249" descr="chã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5725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9525</xdr:rowOff>
    </xdr:from>
    <xdr:to>
      <xdr:col>4</xdr:col>
      <xdr:colOff>409575</xdr:colOff>
      <xdr:row>6</xdr:row>
      <xdr:rowOff>95250</xdr:rowOff>
    </xdr:to>
    <xdr:pic>
      <xdr:nvPicPr>
        <xdr:cNvPr id="1" name="Imagem 1" descr="arco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00025"/>
          <a:ext cx="952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V553"/>
  <sheetViews>
    <sheetView zoomScale="98" zoomScaleNormal="98" zoomScaleSheetLayoutView="90" zoomScalePageLayoutView="0" workbookViewId="0" topLeftCell="C251">
      <selection activeCell="I280" sqref="I280"/>
    </sheetView>
  </sheetViews>
  <sheetFormatPr defaultColWidth="9.140625" defaultRowHeight="12.75"/>
  <cols>
    <col min="1" max="1" width="8.00390625" style="209" customWidth="1"/>
    <col min="2" max="2" width="13.7109375" style="204" customWidth="1"/>
    <col min="3" max="3" width="57.8515625" style="204" bestFit="1" customWidth="1"/>
    <col min="4" max="6" width="16.7109375" style="204" customWidth="1"/>
    <col min="7" max="7" width="20.140625" style="210" bestFit="1" customWidth="1"/>
    <col min="8" max="8" width="20.421875" style="210" bestFit="1" customWidth="1"/>
    <col min="9" max="9" width="20.57421875" style="210" bestFit="1" customWidth="1"/>
    <col min="10" max="10" width="17.7109375" style="204" customWidth="1"/>
    <col min="11" max="11" width="1.7109375" style="204" customWidth="1"/>
    <col min="12" max="12" width="13.421875" style="204" customWidth="1"/>
    <col min="13" max="13" width="16.7109375" style="204" customWidth="1"/>
    <col min="14" max="14" width="9.140625" style="204" customWidth="1"/>
    <col min="15" max="15" width="21.421875" style="204" bestFit="1" customWidth="1"/>
    <col min="16" max="16" width="15.8515625" style="206" customWidth="1"/>
    <col min="17" max="16384" width="9.140625" style="204" customWidth="1"/>
  </cols>
  <sheetData>
    <row r="1" spans="1:15" ht="12.75">
      <c r="A1" s="578" t="s">
        <v>1023</v>
      </c>
      <c r="B1" s="578"/>
      <c r="C1" s="578"/>
      <c r="D1" s="578"/>
      <c r="E1" s="578"/>
      <c r="F1" s="578"/>
      <c r="G1" s="578"/>
      <c r="H1" s="578"/>
      <c r="I1" s="578"/>
      <c r="J1" s="203" t="s">
        <v>651</v>
      </c>
      <c r="K1" s="203"/>
      <c r="L1" s="203"/>
      <c r="M1" s="203"/>
      <c r="O1" s="205">
        <f>I7*2%</f>
        <v>840340</v>
      </c>
    </row>
    <row r="2" spans="1:13" ht="12.75">
      <c r="A2" s="581" t="s">
        <v>1037</v>
      </c>
      <c r="B2" s="581"/>
      <c r="C2" s="581"/>
      <c r="D2" s="581"/>
      <c r="E2" s="581"/>
      <c r="F2" s="581"/>
      <c r="G2" s="581"/>
      <c r="H2" s="581"/>
      <c r="I2" s="581"/>
      <c r="J2" s="207" t="s">
        <v>652</v>
      </c>
      <c r="K2" s="208"/>
      <c r="L2" s="601" t="s">
        <v>654</v>
      </c>
      <c r="M2" s="601"/>
    </row>
    <row r="3" spans="10:13" ht="13.5" thickBot="1">
      <c r="J3" s="211">
        <f>I8</f>
        <v>2603000</v>
      </c>
      <c r="K3" s="208"/>
      <c r="L3" s="602">
        <f>I303</f>
        <v>13895000</v>
      </c>
      <c r="M3" s="602"/>
    </row>
    <row r="4" spans="1:13" ht="16.5" customHeight="1" thickBot="1">
      <c r="A4" s="588" t="s">
        <v>443</v>
      </c>
      <c r="B4" s="590" t="s">
        <v>198</v>
      </c>
      <c r="C4" s="595" t="s">
        <v>199</v>
      </c>
      <c r="D4" s="610" t="s">
        <v>750</v>
      </c>
      <c r="E4" s="611"/>
      <c r="F4" s="612"/>
      <c r="G4" s="616" t="s">
        <v>995</v>
      </c>
      <c r="H4" s="599" t="s">
        <v>996</v>
      </c>
      <c r="I4" s="560" t="s">
        <v>997</v>
      </c>
      <c r="J4" s="603" t="str">
        <f>IF(I8&gt;=O1,"Valor Correto (Acima de 2% da RC)","Valor Abaixo de 2% da RC - CORRIGIR!")</f>
        <v>Valor Correto (Acima de 2% da RC)</v>
      </c>
      <c r="K4" s="208"/>
      <c r="L4" s="212">
        <v>0.4</v>
      </c>
      <c r="M4" s="212">
        <v>0.6</v>
      </c>
    </row>
    <row r="5" spans="1:20" ht="45" customHeight="1" thickBot="1">
      <c r="A5" s="589"/>
      <c r="B5" s="591"/>
      <c r="C5" s="596"/>
      <c r="D5" s="613"/>
      <c r="E5" s="614"/>
      <c r="F5" s="615"/>
      <c r="G5" s="617"/>
      <c r="H5" s="600"/>
      <c r="I5" s="561"/>
      <c r="J5" s="603"/>
      <c r="K5" s="208"/>
      <c r="L5" s="213">
        <f>L3*40%</f>
        <v>5558000</v>
      </c>
      <c r="M5" s="213">
        <f>L3*60%</f>
        <v>8337000</v>
      </c>
      <c r="P5" s="423"/>
      <c r="Q5" s="604" t="s">
        <v>998</v>
      </c>
      <c r="R5" s="605"/>
      <c r="S5" s="605"/>
      <c r="T5" s="606"/>
    </row>
    <row r="6" spans="1:10" ht="12.75">
      <c r="A6" s="214"/>
      <c r="B6" s="215"/>
      <c r="C6" s="216"/>
      <c r="D6" s="371"/>
      <c r="E6" s="372"/>
      <c r="F6" s="373"/>
      <c r="G6" s="220"/>
      <c r="H6" s="221"/>
      <c r="I6" s="222"/>
      <c r="J6" s="597" t="s">
        <v>653</v>
      </c>
    </row>
    <row r="7" spans="1:10" ht="12.75">
      <c r="A7" s="223"/>
      <c r="B7" s="224" t="s">
        <v>0</v>
      </c>
      <c r="C7" s="437" t="s">
        <v>231</v>
      </c>
      <c r="D7" s="225"/>
      <c r="E7" s="226"/>
      <c r="F7" s="227"/>
      <c r="G7" s="228">
        <f>G8+G59+G87+G135+G138+G144+G184+G331</f>
        <v>17197991.14</v>
      </c>
      <c r="H7" s="229">
        <f>H8+H59+H87+H135+H138+H144+H184+H331</f>
        <v>34934718.788</v>
      </c>
      <c r="I7" s="230">
        <f>I8+I59+I87+I135+I138+I144+I184+I331</f>
        <v>42017000</v>
      </c>
      <c r="J7" s="598"/>
    </row>
    <row r="8" spans="1:15" ht="12.75" customHeight="1">
      <c r="A8" s="231"/>
      <c r="B8" s="232" t="s">
        <v>1</v>
      </c>
      <c r="C8" s="434" t="s">
        <v>273</v>
      </c>
      <c r="D8" s="234"/>
      <c r="E8" s="235"/>
      <c r="F8" s="236"/>
      <c r="G8" s="228">
        <f>G9+G28+G53</f>
        <v>934694.3999999999</v>
      </c>
      <c r="H8" s="229">
        <f>H9+H28+H53</f>
        <v>1837000</v>
      </c>
      <c r="I8" s="230">
        <f>I9+I28+I53</f>
        <v>2603000</v>
      </c>
      <c r="J8" s="211">
        <f>I7*2%</f>
        <v>840340</v>
      </c>
      <c r="L8" s="237">
        <v>1</v>
      </c>
      <c r="M8" s="238" t="s">
        <v>778</v>
      </c>
      <c r="N8" s="237" t="s">
        <v>751</v>
      </c>
      <c r="O8" s="237" t="s">
        <v>752</v>
      </c>
    </row>
    <row r="9" spans="1:15" ht="12.75" customHeight="1">
      <c r="A9" s="231"/>
      <c r="B9" s="232" t="s">
        <v>2</v>
      </c>
      <c r="C9" s="434" t="s">
        <v>274</v>
      </c>
      <c r="D9" s="234"/>
      <c r="E9" s="235"/>
      <c r="F9" s="236"/>
      <c r="G9" s="228">
        <f>G10+G22</f>
        <v>886261.2</v>
      </c>
      <c r="H9" s="229">
        <f>H10+H22</f>
        <v>1738000</v>
      </c>
      <c r="I9" s="230">
        <f>I10+I22</f>
        <v>1991000</v>
      </c>
      <c r="J9" s="416"/>
      <c r="L9" s="237">
        <v>2</v>
      </c>
      <c r="M9" s="238" t="s">
        <v>782</v>
      </c>
      <c r="N9" s="237" t="s">
        <v>751</v>
      </c>
      <c r="O9" s="237" t="s">
        <v>753</v>
      </c>
    </row>
    <row r="10" spans="1:15" ht="12.75" customHeight="1">
      <c r="A10" s="231"/>
      <c r="B10" s="232" t="s">
        <v>200</v>
      </c>
      <c r="C10" s="434" t="s">
        <v>275</v>
      </c>
      <c r="D10" s="234"/>
      <c r="E10" s="235"/>
      <c r="F10" s="236"/>
      <c r="G10" s="228">
        <f>G11+G15+G20</f>
        <v>252372.05</v>
      </c>
      <c r="H10" s="229">
        <f>H11+H15+H20</f>
        <v>440000</v>
      </c>
      <c r="I10" s="230">
        <f>I11+I15+I20</f>
        <v>506000</v>
      </c>
      <c r="J10" s="416"/>
      <c r="L10" s="237">
        <v>3</v>
      </c>
      <c r="M10" s="238" t="s">
        <v>783</v>
      </c>
      <c r="N10" s="237" t="s">
        <v>751</v>
      </c>
      <c r="O10" s="237" t="s">
        <v>754</v>
      </c>
    </row>
    <row r="11" spans="1:15" ht="12.75" customHeight="1">
      <c r="A11" s="231"/>
      <c r="B11" s="232" t="s">
        <v>3</v>
      </c>
      <c r="C11" s="434" t="s">
        <v>276</v>
      </c>
      <c r="D11" s="234"/>
      <c r="E11" s="235"/>
      <c r="F11" s="236"/>
      <c r="G11" s="228">
        <f>SUM(G12:G13)</f>
        <v>136402.19</v>
      </c>
      <c r="H11" s="229">
        <f>SUM(H12:H13)</f>
        <v>220000</v>
      </c>
      <c r="I11" s="230">
        <f>SUM(I12:I13)</f>
        <v>252000</v>
      </c>
      <c r="J11" s="416"/>
      <c r="L11" s="237">
        <v>4</v>
      </c>
      <c r="M11" s="238" t="s">
        <v>784</v>
      </c>
      <c r="N11" s="237" t="s">
        <v>755</v>
      </c>
      <c r="O11" s="237" t="s">
        <v>756</v>
      </c>
    </row>
    <row r="12" spans="1:15" ht="12.75" customHeight="1">
      <c r="A12" s="231" t="s">
        <v>441</v>
      </c>
      <c r="B12" s="239" t="s">
        <v>236</v>
      </c>
      <c r="C12" s="434" t="s">
        <v>237</v>
      </c>
      <c r="D12" s="234" t="s">
        <v>778</v>
      </c>
      <c r="E12" s="235" t="s">
        <v>782</v>
      </c>
      <c r="F12" s="236" t="s">
        <v>783</v>
      </c>
      <c r="G12" s="35">
        <v>136402.19</v>
      </c>
      <c r="H12" s="229">
        <v>219000</v>
      </c>
      <c r="I12" s="36">
        <f>ROUND(H12*1.1445,-3)</f>
        <v>251000</v>
      </c>
      <c r="J12" s="416"/>
      <c r="K12" s="241"/>
      <c r="L12" s="237">
        <v>5</v>
      </c>
      <c r="M12" s="238" t="s">
        <v>785</v>
      </c>
      <c r="N12" s="237" t="s">
        <v>755</v>
      </c>
      <c r="O12" s="237" t="s">
        <v>757</v>
      </c>
    </row>
    <row r="13" spans="1:15" ht="12.75" customHeight="1">
      <c r="A13" s="231" t="s">
        <v>441</v>
      </c>
      <c r="B13" s="242" t="s">
        <v>238</v>
      </c>
      <c r="C13" s="434" t="s">
        <v>239</v>
      </c>
      <c r="D13" s="234" t="s">
        <v>778</v>
      </c>
      <c r="E13" s="235" t="s">
        <v>782</v>
      </c>
      <c r="F13" s="236" t="s">
        <v>783</v>
      </c>
      <c r="G13" s="35">
        <v>0</v>
      </c>
      <c r="H13" s="229">
        <v>1000</v>
      </c>
      <c r="I13" s="36">
        <f>ROUND(H13*1.1445,-3)</f>
        <v>1000</v>
      </c>
      <c r="J13" s="416"/>
      <c r="L13" s="237">
        <v>6</v>
      </c>
      <c r="M13" s="238" t="s">
        <v>786</v>
      </c>
      <c r="N13" s="237" t="s">
        <v>755</v>
      </c>
      <c r="O13" s="237" t="s">
        <v>758</v>
      </c>
    </row>
    <row r="14" spans="1:15" ht="12.75" customHeight="1">
      <c r="A14" s="231"/>
      <c r="B14" s="232"/>
      <c r="C14" s="434"/>
      <c r="D14" s="234"/>
      <c r="E14" s="235"/>
      <c r="F14" s="236"/>
      <c r="G14" s="228"/>
      <c r="H14" s="229"/>
      <c r="I14" s="230"/>
      <c r="J14" s="416"/>
      <c r="L14" s="237">
        <v>7</v>
      </c>
      <c r="M14" s="238" t="s">
        <v>779</v>
      </c>
      <c r="N14" s="237" t="s">
        <v>755</v>
      </c>
      <c r="O14" s="237" t="s">
        <v>759</v>
      </c>
    </row>
    <row r="15" spans="1:15" ht="12.75" customHeight="1">
      <c r="A15" s="231"/>
      <c r="B15" s="232" t="s">
        <v>4</v>
      </c>
      <c r="C15" s="434" t="s">
        <v>277</v>
      </c>
      <c r="D15" s="234"/>
      <c r="E15" s="235"/>
      <c r="F15" s="236"/>
      <c r="G15" s="228">
        <f>SUM(G16:G18)</f>
        <v>102295.86</v>
      </c>
      <c r="H15" s="229">
        <f>SUM(H16:H18)</f>
        <v>200000</v>
      </c>
      <c r="I15" s="230">
        <f>SUM(I16:I18)</f>
        <v>231000</v>
      </c>
      <c r="J15" s="416"/>
      <c r="L15" s="237">
        <v>8</v>
      </c>
      <c r="M15" s="238" t="s">
        <v>780</v>
      </c>
      <c r="N15" s="237" t="s">
        <v>755</v>
      </c>
      <c r="O15" s="237" t="s">
        <v>760</v>
      </c>
    </row>
    <row r="16" spans="1:15" ht="12.75" customHeight="1">
      <c r="A16" s="231" t="s">
        <v>441</v>
      </c>
      <c r="B16" s="232" t="s">
        <v>824</v>
      </c>
      <c r="C16" s="434" t="s">
        <v>825</v>
      </c>
      <c r="D16" s="234" t="s">
        <v>778</v>
      </c>
      <c r="E16" s="235" t="s">
        <v>782</v>
      </c>
      <c r="F16" s="236" t="s">
        <v>783</v>
      </c>
      <c r="G16" s="35">
        <v>0</v>
      </c>
      <c r="H16" s="229">
        <f>G16/6*12</f>
        <v>0</v>
      </c>
      <c r="I16" s="36">
        <f>ROUND(H16*1.1445,-3)</f>
        <v>0</v>
      </c>
      <c r="J16" s="416"/>
      <c r="L16" s="237">
        <v>9</v>
      </c>
      <c r="M16" s="238" t="s">
        <v>781</v>
      </c>
      <c r="N16" s="237" t="s">
        <v>755</v>
      </c>
      <c r="O16" s="237" t="s">
        <v>761</v>
      </c>
    </row>
    <row r="17" spans="1:15" ht="12.75" customHeight="1">
      <c r="A17" s="231" t="s">
        <v>441</v>
      </c>
      <c r="B17" s="232" t="s">
        <v>5</v>
      </c>
      <c r="C17" s="434" t="s">
        <v>278</v>
      </c>
      <c r="D17" s="234" t="s">
        <v>778</v>
      </c>
      <c r="E17" s="235" t="s">
        <v>782</v>
      </c>
      <c r="F17" s="236" t="s">
        <v>783</v>
      </c>
      <c r="G17" s="35">
        <v>100296.35</v>
      </c>
      <c r="H17" s="548">
        <v>190000</v>
      </c>
      <c r="I17" s="546">
        <f>ROUND(H17*1.1445,-3)+3000</f>
        <v>220000</v>
      </c>
      <c r="J17" s="416"/>
      <c r="K17" s="241"/>
      <c r="L17" s="237">
        <v>10</v>
      </c>
      <c r="M17" s="238" t="s">
        <v>762</v>
      </c>
      <c r="N17" s="237" t="s">
        <v>755</v>
      </c>
      <c r="O17" s="237" t="s">
        <v>763</v>
      </c>
    </row>
    <row r="18" spans="1:15" ht="12.75" customHeight="1">
      <c r="A18" s="231" t="s">
        <v>441</v>
      </c>
      <c r="B18" s="232" t="s">
        <v>6</v>
      </c>
      <c r="C18" s="434" t="s">
        <v>279</v>
      </c>
      <c r="D18" s="234" t="s">
        <v>778</v>
      </c>
      <c r="E18" s="235" t="s">
        <v>782</v>
      </c>
      <c r="F18" s="236" t="s">
        <v>783</v>
      </c>
      <c r="G18" s="35">
        <v>1999.51</v>
      </c>
      <c r="H18" s="229">
        <v>10000</v>
      </c>
      <c r="I18" s="36">
        <f>ROUND(H18*1.1445,-3)</f>
        <v>11000</v>
      </c>
      <c r="J18" s="416"/>
      <c r="K18" s="241"/>
      <c r="L18" s="237">
        <v>11</v>
      </c>
      <c r="M18" s="238" t="s">
        <v>764</v>
      </c>
      <c r="N18" s="237" t="s">
        <v>755</v>
      </c>
      <c r="O18" s="237" t="s">
        <v>765</v>
      </c>
    </row>
    <row r="19" spans="1:15" ht="12.75" customHeight="1">
      <c r="A19" s="231"/>
      <c r="B19" s="232"/>
      <c r="C19" s="434"/>
      <c r="D19" s="234"/>
      <c r="E19" s="235"/>
      <c r="F19" s="236"/>
      <c r="G19" s="228"/>
      <c r="H19" s="229"/>
      <c r="I19" s="230"/>
      <c r="J19" s="416"/>
      <c r="L19" s="237">
        <v>12</v>
      </c>
      <c r="M19" s="238" t="s">
        <v>766</v>
      </c>
      <c r="N19" s="237" t="s">
        <v>755</v>
      </c>
      <c r="O19" s="237" t="s">
        <v>767</v>
      </c>
    </row>
    <row r="20" spans="1:15" ht="12.75" customHeight="1">
      <c r="A20" s="231" t="s">
        <v>441</v>
      </c>
      <c r="B20" s="232" t="s">
        <v>7</v>
      </c>
      <c r="C20" s="434" t="s">
        <v>280</v>
      </c>
      <c r="D20" s="234" t="s">
        <v>778</v>
      </c>
      <c r="E20" s="235" t="s">
        <v>782</v>
      </c>
      <c r="F20" s="236" t="s">
        <v>783</v>
      </c>
      <c r="G20" s="35">
        <v>13674</v>
      </c>
      <c r="H20" s="229">
        <v>20000</v>
      </c>
      <c r="I20" s="36">
        <f>ROUND(H20*1.1445,-3)</f>
        <v>23000</v>
      </c>
      <c r="J20" s="416"/>
      <c r="L20" s="237">
        <v>13</v>
      </c>
      <c r="M20" s="238" t="s">
        <v>787</v>
      </c>
      <c r="N20" s="237" t="s">
        <v>755</v>
      </c>
      <c r="O20" s="237" t="s">
        <v>768</v>
      </c>
    </row>
    <row r="21" spans="1:15" ht="12.75" customHeight="1">
      <c r="A21" s="231"/>
      <c r="B21" s="232"/>
      <c r="C21" s="434"/>
      <c r="D21" s="234"/>
      <c r="E21" s="235"/>
      <c r="F21" s="236"/>
      <c r="G21" s="228"/>
      <c r="H21" s="229"/>
      <c r="I21" s="230"/>
      <c r="J21" s="416"/>
      <c r="L21" s="237">
        <v>14</v>
      </c>
      <c r="M21" s="238" t="s">
        <v>788</v>
      </c>
      <c r="N21" s="237" t="s">
        <v>755</v>
      </c>
      <c r="O21" s="237" t="s">
        <v>769</v>
      </c>
    </row>
    <row r="22" spans="1:15" ht="12.75" customHeight="1">
      <c r="A22" s="231"/>
      <c r="B22" s="232" t="s">
        <v>8</v>
      </c>
      <c r="C22" s="434" t="s">
        <v>281</v>
      </c>
      <c r="D22" s="234"/>
      <c r="E22" s="235"/>
      <c r="F22" s="236"/>
      <c r="G22" s="228">
        <f aca="true" t="shared" si="0" ref="G22:I23">G23</f>
        <v>633889.15</v>
      </c>
      <c r="H22" s="229">
        <f t="shared" si="0"/>
        <v>1298000</v>
      </c>
      <c r="I22" s="230">
        <f t="shared" si="0"/>
        <v>1485000</v>
      </c>
      <c r="J22" s="416"/>
      <c r="L22" s="237">
        <v>15</v>
      </c>
      <c r="M22" s="238" t="s">
        <v>789</v>
      </c>
      <c r="N22" s="237" t="s">
        <v>755</v>
      </c>
      <c r="O22" s="237" t="s">
        <v>770</v>
      </c>
    </row>
    <row r="23" spans="1:15" ht="12.75" customHeight="1">
      <c r="A23" s="231"/>
      <c r="B23" s="232" t="s">
        <v>9</v>
      </c>
      <c r="C23" s="434" t="s">
        <v>839</v>
      </c>
      <c r="D23" s="234"/>
      <c r="E23" s="235"/>
      <c r="F23" s="236"/>
      <c r="G23" s="228">
        <f t="shared" si="0"/>
        <v>633889.15</v>
      </c>
      <c r="H23" s="229">
        <f t="shared" si="0"/>
        <v>1298000</v>
      </c>
      <c r="I23" s="230">
        <f t="shared" si="0"/>
        <v>1485000</v>
      </c>
      <c r="J23" s="416"/>
      <c r="L23" s="237">
        <v>16</v>
      </c>
      <c r="M23" s="238" t="s">
        <v>790</v>
      </c>
      <c r="N23" s="237" t="s">
        <v>755</v>
      </c>
      <c r="O23" s="237" t="s">
        <v>771</v>
      </c>
    </row>
    <row r="24" spans="1:15" ht="12.75" customHeight="1">
      <c r="A24" s="231"/>
      <c r="B24" s="232" t="s">
        <v>836</v>
      </c>
      <c r="C24" s="434" t="s">
        <v>839</v>
      </c>
      <c r="D24" s="234"/>
      <c r="E24" s="235"/>
      <c r="F24" s="236"/>
      <c r="G24" s="228">
        <f>SUM(G25:G26)</f>
        <v>633889.15</v>
      </c>
      <c r="H24" s="229">
        <f>SUM(H25:H26)</f>
        <v>1298000</v>
      </c>
      <c r="I24" s="230">
        <f>SUM(I25:I26)</f>
        <v>1485000</v>
      </c>
      <c r="J24" s="416"/>
      <c r="L24" s="237">
        <v>17</v>
      </c>
      <c r="M24" s="238" t="s">
        <v>791</v>
      </c>
      <c r="N24" s="237" t="s">
        <v>755</v>
      </c>
      <c r="O24" s="237" t="s">
        <v>772</v>
      </c>
    </row>
    <row r="25" spans="1:15" ht="12.75" customHeight="1">
      <c r="A25" s="231" t="s">
        <v>441</v>
      </c>
      <c r="B25" s="232" t="s">
        <v>837</v>
      </c>
      <c r="C25" s="434" t="s">
        <v>840</v>
      </c>
      <c r="D25" s="234" t="s">
        <v>778</v>
      </c>
      <c r="E25" s="235" t="s">
        <v>782</v>
      </c>
      <c r="F25" s="236" t="s">
        <v>783</v>
      </c>
      <c r="G25" s="35">
        <v>616182.66</v>
      </c>
      <c r="H25" s="229">
        <v>1228000</v>
      </c>
      <c r="I25" s="36">
        <f>ROUND(H25*1.1445,-3)</f>
        <v>1405000</v>
      </c>
      <c r="J25" s="416"/>
      <c r="L25" s="237">
        <v>18</v>
      </c>
      <c r="M25" s="238" t="s">
        <v>792</v>
      </c>
      <c r="N25" s="237" t="s">
        <v>755</v>
      </c>
      <c r="O25" s="237" t="s">
        <v>773</v>
      </c>
    </row>
    <row r="26" spans="1:15" ht="12.75" customHeight="1">
      <c r="A26" s="231" t="s">
        <v>441</v>
      </c>
      <c r="B26" s="232" t="s">
        <v>838</v>
      </c>
      <c r="C26" s="434" t="s">
        <v>841</v>
      </c>
      <c r="D26" s="234" t="s">
        <v>778</v>
      </c>
      <c r="E26" s="235" t="s">
        <v>782</v>
      </c>
      <c r="F26" s="236" t="s">
        <v>783</v>
      </c>
      <c r="G26" s="35">
        <v>17706.49</v>
      </c>
      <c r="H26" s="229">
        <v>70000</v>
      </c>
      <c r="I26" s="36">
        <f>ROUND(H26*1.1445,-3)</f>
        <v>80000</v>
      </c>
      <c r="J26" s="416"/>
      <c r="L26" s="237">
        <v>19</v>
      </c>
      <c r="M26" s="238" t="s">
        <v>793</v>
      </c>
      <c r="N26" s="237" t="s">
        <v>755</v>
      </c>
      <c r="O26" s="237" t="s">
        <v>774</v>
      </c>
    </row>
    <row r="27" spans="1:15" ht="12.75" customHeight="1">
      <c r="A27" s="231"/>
      <c r="B27" s="232"/>
      <c r="C27" s="434"/>
      <c r="D27" s="234"/>
      <c r="E27" s="235"/>
      <c r="F27" s="236"/>
      <c r="G27" s="228"/>
      <c r="H27" s="229"/>
      <c r="I27" s="230"/>
      <c r="J27" s="416"/>
      <c r="L27" s="237">
        <v>20</v>
      </c>
      <c r="M27" s="238" t="s">
        <v>794</v>
      </c>
      <c r="N27" s="237" t="s">
        <v>755</v>
      </c>
      <c r="O27" s="237" t="s">
        <v>775</v>
      </c>
    </row>
    <row r="28" spans="1:15" ht="12.75" customHeight="1">
      <c r="A28" s="231"/>
      <c r="B28" s="232" t="s">
        <v>10</v>
      </c>
      <c r="C28" s="434" t="s">
        <v>282</v>
      </c>
      <c r="D28" s="234"/>
      <c r="E28" s="235"/>
      <c r="F28" s="236"/>
      <c r="G28" s="228">
        <f>G29+G44</f>
        <v>48433.2</v>
      </c>
      <c r="H28" s="229">
        <f>H29+H44</f>
        <v>99000</v>
      </c>
      <c r="I28" s="230">
        <f>I29+I44</f>
        <v>112000</v>
      </c>
      <c r="J28" s="416"/>
      <c r="L28" s="237">
        <v>21</v>
      </c>
      <c r="M28" s="238" t="s">
        <v>795</v>
      </c>
      <c r="N28" s="237" t="s">
        <v>751</v>
      </c>
      <c r="O28" s="237" t="s">
        <v>776</v>
      </c>
    </row>
    <row r="29" spans="1:15" ht="12.75" customHeight="1">
      <c r="A29" s="231"/>
      <c r="B29" s="232" t="s">
        <v>11</v>
      </c>
      <c r="C29" s="434" t="s">
        <v>250</v>
      </c>
      <c r="D29" s="234"/>
      <c r="E29" s="235"/>
      <c r="F29" s="236"/>
      <c r="G29" s="228">
        <f>SUM(G30:G42)</f>
        <v>47381.39</v>
      </c>
      <c r="H29" s="229">
        <f>SUM(H30:H42)</f>
        <v>95000</v>
      </c>
      <c r="I29" s="230">
        <f>SUM(I30:I42)</f>
        <v>108000</v>
      </c>
      <c r="J29" s="416"/>
      <c r="L29" s="237">
        <v>22</v>
      </c>
      <c r="M29" s="238" t="s">
        <v>796</v>
      </c>
      <c r="N29" s="237" t="s">
        <v>755</v>
      </c>
      <c r="O29" s="237" t="s">
        <v>777</v>
      </c>
    </row>
    <row r="30" spans="1:10" ht="12.75" customHeight="1">
      <c r="A30" s="231" t="s">
        <v>439</v>
      </c>
      <c r="B30" s="260" t="s">
        <v>12</v>
      </c>
      <c r="C30" s="446" t="s">
        <v>251</v>
      </c>
      <c r="D30" s="234" t="s">
        <v>778</v>
      </c>
      <c r="E30" s="235"/>
      <c r="F30" s="236"/>
      <c r="G30" s="202">
        <v>1540</v>
      </c>
      <c r="H30" s="229">
        <v>2000</v>
      </c>
      <c r="I30" s="198">
        <v>3000</v>
      </c>
      <c r="J30" s="416"/>
    </row>
    <row r="31" spans="1:10" ht="12.75" customHeight="1">
      <c r="A31" s="231" t="s">
        <v>441</v>
      </c>
      <c r="B31" s="232" t="s">
        <v>474</v>
      </c>
      <c r="C31" s="434" t="s">
        <v>418</v>
      </c>
      <c r="D31" s="234" t="s">
        <v>778</v>
      </c>
      <c r="E31" s="235"/>
      <c r="F31" s="236"/>
      <c r="G31" s="35"/>
      <c r="H31" s="229">
        <f aca="true" t="shared" si="1" ref="H31:H41">G31/6*12</f>
        <v>0</v>
      </c>
      <c r="I31" s="36">
        <f aca="true" t="shared" si="2" ref="I31:I42">ROUND(H31*1.1445,-3)</f>
        <v>0</v>
      </c>
      <c r="J31" s="416"/>
    </row>
    <row r="32" spans="1:10" ht="12.75" customHeight="1">
      <c r="A32" s="231" t="s">
        <v>441</v>
      </c>
      <c r="B32" s="232" t="s">
        <v>13</v>
      </c>
      <c r="C32" s="434" t="s">
        <v>252</v>
      </c>
      <c r="D32" s="234" t="s">
        <v>778</v>
      </c>
      <c r="E32" s="235"/>
      <c r="F32" s="236"/>
      <c r="G32" s="35">
        <v>16212.47</v>
      </c>
      <c r="H32" s="229">
        <v>47000</v>
      </c>
      <c r="I32" s="36">
        <f>ROUND(H32*1.1445,-3)-1000</f>
        <v>53000</v>
      </c>
      <c r="J32" s="416"/>
    </row>
    <row r="33" spans="1:10" ht="12.75" customHeight="1">
      <c r="A33" s="231" t="s">
        <v>441</v>
      </c>
      <c r="B33" s="232" t="s">
        <v>14</v>
      </c>
      <c r="C33" s="434" t="s">
        <v>283</v>
      </c>
      <c r="D33" s="234" t="s">
        <v>778</v>
      </c>
      <c r="E33" s="235"/>
      <c r="F33" s="236"/>
      <c r="G33" s="35"/>
      <c r="H33" s="229">
        <f t="shared" si="1"/>
        <v>0</v>
      </c>
      <c r="I33" s="36">
        <f t="shared" si="2"/>
        <v>0</v>
      </c>
      <c r="J33" s="416"/>
    </row>
    <row r="34" spans="1:10" ht="12.75" customHeight="1">
      <c r="A34" s="231" t="s">
        <v>441</v>
      </c>
      <c r="B34" s="232" t="s">
        <v>15</v>
      </c>
      <c r="C34" s="434" t="s">
        <v>284</v>
      </c>
      <c r="D34" s="234" t="s">
        <v>778</v>
      </c>
      <c r="E34" s="235"/>
      <c r="F34" s="236"/>
      <c r="G34" s="35"/>
      <c r="H34" s="229">
        <f t="shared" si="1"/>
        <v>0</v>
      </c>
      <c r="I34" s="36">
        <f t="shared" si="2"/>
        <v>0</v>
      </c>
      <c r="J34" s="416"/>
    </row>
    <row r="35" spans="1:10" ht="12.75" customHeight="1">
      <c r="A35" s="231" t="s">
        <v>441</v>
      </c>
      <c r="B35" s="232" t="s">
        <v>404</v>
      </c>
      <c r="C35" s="434" t="s">
        <v>253</v>
      </c>
      <c r="D35" s="234" t="s">
        <v>778</v>
      </c>
      <c r="E35" s="235"/>
      <c r="F35" s="236"/>
      <c r="G35" s="35"/>
      <c r="H35" s="229">
        <v>1000</v>
      </c>
      <c r="I35" s="36">
        <f t="shared" si="2"/>
        <v>1000</v>
      </c>
      <c r="J35" s="416"/>
    </row>
    <row r="36" spans="1:10" ht="12.75" customHeight="1">
      <c r="A36" s="231" t="s">
        <v>441</v>
      </c>
      <c r="B36" s="232" t="s">
        <v>16</v>
      </c>
      <c r="C36" s="434" t="s">
        <v>254</v>
      </c>
      <c r="D36" s="234" t="s">
        <v>778</v>
      </c>
      <c r="E36" s="235"/>
      <c r="F36" s="236"/>
      <c r="G36" s="35">
        <v>5762.56</v>
      </c>
      <c r="H36" s="229">
        <v>12000</v>
      </c>
      <c r="I36" s="36">
        <f t="shared" si="2"/>
        <v>14000</v>
      </c>
      <c r="J36" s="416"/>
    </row>
    <row r="37" spans="1:10" ht="12.75" customHeight="1">
      <c r="A37" s="231" t="s">
        <v>441</v>
      </c>
      <c r="B37" s="232" t="s">
        <v>17</v>
      </c>
      <c r="C37" s="434" t="s">
        <v>285</v>
      </c>
      <c r="D37" s="234" t="s">
        <v>778</v>
      </c>
      <c r="E37" s="235"/>
      <c r="F37" s="236"/>
      <c r="G37" s="35"/>
      <c r="H37" s="229">
        <f t="shared" si="1"/>
        <v>0</v>
      </c>
      <c r="I37" s="36">
        <f t="shared" si="2"/>
        <v>0</v>
      </c>
      <c r="J37" s="416"/>
    </row>
    <row r="38" spans="1:10" ht="12.75" customHeight="1">
      <c r="A38" s="231" t="s">
        <v>441</v>
      </c>
      <c r="B38" s="232" t="s">
        <v>18</v>
      </c>
      <c r="C38" s="434" t="s">
        <v>255</v>
      </c>
      <c r="D38" s="234" t="s">
        <v>778</v>
      </c>
      <c r="E38" s="235"/>
      <c r="F38" s="236"/>
      <c r="G38" s="35">
        <v>21033.66</v>
      </c>
      <c r="H38" s="229">
        <v>24000</v>
      </c>
      <c r="I38" s="36">
        <f t="shared" si="2"/>
        <v>27000</v>
      </c>
      <c r="J38" s="416"/>
    </row>
    <row r="39" spans="1:10" ht="12.75" customHeight="1">
      <c r="A39" s="231" t="s">
        <v>441</v>
      </c>
      <c r="B39" s="232" t="s">
        <v>19</v>
      </c>
      <c r="C39" s="434" t="s">
        <v>256</v>
      </c>
      <c r="D39" s="234" t="s">
        <v>778</v>
      </c>
      <c r="E39" s="235"/>
      <c r="F39" s="236"/>
      <c r="G39" s="35"/>
      <c r="H39" s="229">
        <f t="shared" si="1"/>
        <v>0</v>
      </c>
      <c r="I39" s="36">
        <f t="shared" si="2"/>
        <v>0</v>
      </c>
      <c r="J39" s="416"/>
    </row>
    <row r="40" spans="1:10" ht="12.75" customHeight="1">
      <c r="A40" s="231" t="s">
        <v>441</v>
      </c>
      <c r="B40" s="232" t="s">
        <v>20</v>
      </c>
      <c r="C40" s="434" t="s">
        <v>286</v>
      </c>
      <c r="D40" s="234" t="s">
        <v>778</v>
      </c>
      <c r="E40" s="235"/>
      <c r="F40" s="236"/>
      <c r="G40" s="35"/>
      <c r="H40" s="229">
        <f t="shared" si="1"/>
        <v>0</v>
      </c>
      <c r="I40" s="36">
        <f t="shared" si="2"/>
        <v>0</v>
      </c>
      <c r="J40" s="416"/>
    </row>
    <row r="41" spans="1:10" ht="12.75" customHeight="1">
      <c r="A41" s="231" t="s">
        <v>441</v>
      </c>
      <c r="B41" s="232" t="s">
        <v>21</v>
      </c>
      <c r="C41" s="434" t="s">
        <v>257</v>
      </c>
      <c r="D41" s="234" t="s">
        <v>778</v>
      </c>
      <c r="E41" s="235"/>
      <c r="F41" s="236"/>
      <c r="G41" s="35"/>
      <c r="H41" s="229">
        <f t="shared" si="1"/>
        <v>0</v>
      </c>
      <c r="I41" s="36">
        <f t="shared" si="2"/>
        <v>0</v>
      </c>
      <c r="J41" s="416"/>
    </row>
    <row r="42" spans="1:10" ht="12.75" customHeight="1">
      <c r="A42" s="231" t="s">
        <v>441</v>
      </c>
      <c r="B42" s="232" t="s">
        <v>22</v>
      </c>
      <c r="C42" s="434" t="s">
        <v>258</v>
      </c>
      <c r="D42" s="234" t="s">
        <v>778</v>
      </c>
      <c r="E42" s="235"/>
      <c r="F42" s="236"/>
      <c r="G42" s="35">
        <v>2832.7</v>
      </c>
      <c r="H42" s="229">
        <v>9000</v>
      </c>
      <c r="I42" s="36">
        <f t="shared" si="2"/>
        <v>10000</v>
      </c>
      <c r="J42" s="416"/>
    </row>
    <row r="43" spans="1:10" ht="12.75" customHeight="1">
      <c r="A43" s="231"/>
      <c r="B43" s="232"/>
      <c r="C43" s="434"/>
      <c r="D43" s="234"/>
      <c r="E43" s="235"/>
      <c r="F43" s="236"/>
      <c r="G43" s="228"/>
      <c r="H43" s="229"/>
      <c r="I43" s="230"/>
      <c r="J43" s="416"/>
    </row>
    <row r="44" spans="1:10" ht="12.75" customHeight="1">
      <c r="A44" s="231"/>
      <c r="B44" s="232" t="s">
        <v>24</v>
      </c>
      <c r="C44" s="434" t="s">
        <v>23</v>
      </c>
      <c r="D44" s="234"/>
      <c r="E44" s="235"/>
      <c r="F44" s="236"/>
      <c r="G44" s="228">
        <f>SUM(G45:G49)</f>
        <v>1051.81</v>
      </c>
      <c r="H44" s="229">
        <v>4000</v>
      </c>
      <c r="I44" s="230">
        <f>SUM(I45:I49)</f>
        <v>4000</v>
      </c>
      <c r="J44" s="416"/>
    </row>
    <row r="45" spans="1:10" ht="12.75" customHeight="1">
      <c r="A45" s="231" t="s">
        <v>441</v>
      </c>
      <c r="B45" s="232" t="s">
        <v>475</v>
      </c>
      <c r="C45" s="434" t="s">
        <v>287</v>
      </c>
      <c r="D45" s="234" t="s">
        <v>778</v>
      </c>
      <c r="E45" s="235"/>
      <c r="F45" s="236"/>
      <c r="G45" s="35"/>
      <c r="H45" s="229">
        <f>G45/6*12</f>
        <v>0</v>
      </c>
      <c r="I45" s="36">
        <f>ROUND(H45*1.1445,-3)</f>
        <v>0</v>
      </c>
      <c r="J45" s="416"/>
    </row>
    <row r="46" spans="1:10" ht="12.75" customHeight="1">
      <c r="A46" s="231" t="s">
        <v>441</v>
      </c>
      <c r="B46" s="232" t="s">
        <v>26</v>
      </c>
      <c r="C46" s="434" t="s">
        <v>25</v>
      </c>
      <c r="D46" s="234" t="s">
        <v>778</v>
      </c>
      <c r="E46" s="235"/>
      <c r="F46" s="236"/>
      <c r="G46" s="35"/>
      <c r="H46" s="229">
        <f>G46/6*12</f>
        <v>0</v>
      </c>
      <c r="I46" s="36">
        <f>ROUND(H46*1.1445,-3)</f>
        <v>0</v>
      </c>
      <c r="J46" s="416"/>
    </row>
    <row r="47" spans="1:10" ht="12.75" customHeight="1">
      <c r="A47" s="231" t="s">
        <v>441</v>
      </c>
      <c r="B47" s="232" t="s">
        <v>27</v>
      </c>
      <c r="C47" s="434" t="s">
        <v>288</v>
      </c>
      <c r="D47" s="234" t="s">
        <v>778</v>
      </c>
      <c r="E47" s="235"/>
      <c r="F47" s="236"/>
      <c r="G47" s="35"/>
      <c r="H47" s="229">
        <v>1000</v>
      </c>
      <c r="I47" s="36">
        <f>ROUND(H47*1.1445,-3)</f>
        <v>1000</v>
      </c>
      <c r="J47" s="416"/>
    </row>
    <row r="48" spans="1:10" ht="12.75" customHeight="1">
      <c r="A48" s="231" t="s">
        <v>441</v>
      </c>
      <c r="B48" s="232" t="s">
        <v>28</v>
      </c>
      <c r="C48" s="434" t="s">
        <v>289</v>
      </c>
      <c r="D48" s="234" t="s">
        <v>778</v>
      </c>
      <c r="E48" s="235"/>
      <c r="F48" s="236"/>
      <c r="G48" s="35"/>
      <c r="H48" s="229">
        <f>G48/6*12</f>
        <v>0</v>
      </c>
      <c r="I48" s="36">
        <f>ROUND(H48*1.1445,-3)</f>
        <v>0</v>
      </c>
      <c r="J48" s="416"/>
    </row>
    <row r="49" spans="1:10" ht="12.75" customHeight="1">
      <c r="A49" s="231" t="s">
        <v>441</v>
      </c>
      <c r="B49" s="232" t="s">
        <v>29</v>
      </c>
      <c r="C49" s="434" t="s">
        <v>290</v>
      </c>
      <c r="D49" s="234"/>
      <c r="E49" s="235"/>
      <c r="F49" s="236"/>
      <c r="G49" s="368">
        <f>SUM(G50:G51)</f>
        <v>1051.81</v>
      </c>
      <c r="H49" s="368">
        <f>SUM(H50:H51)</f>
        <v>3000</v>
      </c>
      <c r="I49" s="368">
        <f>SUM(I50:I51)</f>
        <v>3000</v>
      </c>
      <c r="J49" s="416"/>
    </row>
    <row r="50" spans="1:10" ht="12.75" customHeight="1">
      <c r="A50" s="252" t="s">
        <v>440</v>
      </c>
      <c r="B50" s="253" t="s">
        <v>993</v>
      </c>
      <c r="C50" s="439" t="s">
        <v>991</v>
      </c>
      <c r="D50" s="234" t="s">
        <v>778</v>
      </c>
      <c r="E50" s="235"/>
      <c r="F50" s="236"/>
      <c r="G50" s="45"/>
      <c r="H50" s="229">
        <f>G50/6*12</f>
        <v>0</v>
      </c>
      <c r="I50" s="46">
        <f>ROUND(H50*1.1445,-3)</f>
        <v>0</v>
      </c>
      <c r="J50" s="416"/>
    </row>
    <row r="51" spans="1:10" ht="12.75" customHeight="1">
      <c r="A51" s="231" t="s">
        <v>441</v>
      </c>
      <c r="B51" s="232" t="s">
        <v>994</v>
      </c>
      <c r="C51" s="434" t="s">
        <v>992</v>
      </c>
      <c r="D51" s="234" t="s">
        <v>778</v>
      </c>
      <c r="E51" s="235"/>
      <c r="F51" s="236"/>
      <c r="G51" s="35">
        <v>1051.81</v>
      </c>
      <c r="H51" s="229">
        <v>3000</v>
      </c>
      <c r="I51" s="36">
        <f>ROUND(H51*1.1445,-3)</f>
        <v>3000</v>
      </c>
      <c r="J51" s="416"/>
    </row>
    <row r="52" spans="1:10" ht="12.75" customHeight="1">
      <c r="A52" s="231"/>
      <c r="B52" s="232"/>
      <c r="C52" s="434"/>
      <c r="D52" s="234"/>
      <c r="E52" s="235"/>
      <c r="F52" s="236"/>
      <c r="G52" s="228"/>
      <c r="H52" s="229"/>
      <c r="I52" s="230"/>
      <c r="J52" s="416"/>
    </row>
    <row r="53" spans="1:10" ht="12.75" customHeight="1">
      <c r="A53" s="231"/>
      <c r="B53" s="232" t="s">
        <v>30</v>
      </c>
      <c r="C53" s="434" t="s">
        <v>291</v>
      </c>
      <c r="D53" s="234"/>
      <c r="E53" s="235"/>
      <c r="F53" s="236"/>
      <c r="G53" s="228">
        <f>SUM(G54:G57)</f>
        <v>0</v>
      </c>
      <c r="H53" s="229">
        <f>SUM(H54:H57)</f>
        <v>0</v>
      </c>
      <c r="I53" s="230">
        <f>SUM(I54:I57)</f>
        <v>500000</v>
      </c>
      <c r="J53" s="416"/>
    </row>
    <row r="54" spans="1:10" ht="12.75" customHeight="1">
      <c r="A54" s="231" t="s">
        <v>441</v>
      </c>
      <c r="B54" s="232" t="s">
        <v>31</v>
      </c>
      <c r="C54" s="434" t="s">
        <v>259</v>
      </c>
      <c r="D54" s="234" t="s">
        <v>778</v>
      </c>
      <c r="E54" s="235"/>
      <c r="F54" s="236"/>
      <c r="G54" s="35"/>
      <c r="H54" s="229">
        <f>G54/6*12</f>
        <v>0</v>
      </c>
      <c r="I54" s="36"/>
      <c r="J54" s="416"/>
    </row>
    <row r="55" spans="1:10" ht="12.75" customHeight="1">
      <c r="A55" s="231" t="s">
        <v>441</v>
      </c>
      <c r="B55" s="232" t="s">
        <v>32</v>
      </c>
      <c r="C55" s="434" t="s">
        <v>292</v>
      </c>
      <c r="D55" s="234" t="s">
        <v>778</v>
      </c>
      <c r="E55" s="235"/>
      <c r="F55" s="236"/>
      <c r="G55" s="35"/>
      <c r="H55" s="229">
        <f>G55/6*12</f>
        <v>0</v>
      </c>
      <c r="I55" s="36"/>
      <c r="J55" s="416"/>
    </row>
    <row r="56" spans="1:10" ht="12.75" customHeight="1">
      <c r="A56" s="231" t="s">
        <v>441</v>
      </c>
      <c r="B56" s="232" t="s">
        <v>34</v>
      </c>
      <c r="C56" s="434" t="s">
        <v>293</v>
      </c>
      <c r="D56" s="234" t="s">
        <v>778</v>
      </c>
      <c r="E56" s="235"/>
      <c r="F56" s="236"/>
      <c r="G56" s="35"/>
      <c r="H56" s="229">
        <f>G56/6*12</f>
        <v>0</v>
      </c>
      <c r="I56" s="36"/>
      <c r="J56" s="416"/>
    </row>
    <row r="57" spans="1:10" ht="12.75" customHeight="1">
      <c r="A57" s="231" t="s">
        <v>441</v>
      </c>
      <c r="B57" s="232" t="s">
        <v>33</v>
      </c>
      <c r="C57" s="434" t="s">
        <v>294</v>
      </c>
      <c r="D57" s="234" t="s">
        <v>778</v>
      </c>
      <c r="E57" s="235"/>
      <c r="F57" s="236"/>
      <c r="G57" s="35"/>
      <c r="H57" s="229">
        <f>G57/6*12</f>
        <v>0</v>
      </c>
      <c r="I57" s="36">
        <v>500000</v>
      </c>
      <c r="J57" s="416"/>
    </row>
    <row r="58" spans="1:10" ht="12.75" customHeight="1">
      <c r="A58" s="231"/>
      <c r="B58" s="232"/>
      <c r="C58" s="434"/>
      <c r="D58" s="234"/>
      <c r="E58" s="235"/>
      <c r="F58" s="236"/>
      <c r="G58" s="228"/>
      <c r="H58" s="229"/>
      <c r="I58" s="230"/>
      <c r="J58" s="416"/>
    </row>
    <row r="59" spans="1:10" ht="12.75" customHeight="1">
      <c r="A59" s="231"/>
      <c r="B59" s="232" t="s">
        <v>35</v>
      </c>
      <c r="C59" s="434" t="s">
        <v>295</v>
      </c>
      <c r="D59" s="234"/>
      <c r="E59" s="235"/>
      <c r="F59" s="236"/>
      <c r="G59" s="228">
        <f>G60+G84</f>
        <v>570754.5500000002</v>
      </c>
      <c r="H59" s="229">
        <f>H60+H84</f>
        <v>1418000</v>
      </c>
      <c r="I59" s="230">
        <f>I60+I84</f>
        <v>1623000</v>
      </c>
      <c r="J59" s="416"/>
    </row>
    <row r="60" spans="1:10" ht="12.75" customHeight="1">
      <c r="A60" s="231"/>
      <c r="B60" s="232" t="s">
        <v>36</v>
      </c>
      <c r="C60" s="434" t="s">
        <v>296</v>
      </c>
      <c r="D60" s="234"/>
      <c r="E60" s="235"/>
      <c r="F60" s="236"/>
      <c r="G60" s="228">
        <f>G61+G82+G79</f>
        <v>564699.9000000001</v>
      </c>
      <c r="H60" s="229">
        <f>H61+H82+H79</f>
        <v>1396000</v>
      </c>
      <c r="I60" s="230">
        <f>I61+I82+I79</f>
        <v>1596000</v>
      </c>
      <c r="J60" s="416"/>
    </row>
    <row r="61" spans="1:10" ht="12.75" customHeight="1">
      <c r="A61" s="231"/>
      <c r="B61" s="232" t="s">
        <v>37</v>
      </c>
      <c r="C61" s="434" t="s">
        <v>260</v>
      </c>
      <c r="D61" s="234"/>
      <c r="E61" s="235"/>
      <c r="F61" s="236"/>
      <c r="G61" s="228">
        <f>SUM(G62:G63,G71:G77)</f>
        <v>564699.9000000001</v>
      </c>
      <c r="H61" s="229">
        <f>SUM(H62:H63,H71:H77)</f>
        <v>1396000</v>
      </c>
      <c r="I61" s="230">
        <f>SUM(I62:I63,I71:I77)</f>
        <v>1596000</v>
      </c>
      <c r="J61" s="416"/>
    </row>
    <row r="62" spans="1:10" ht="12.75" customHeight="1">
      <c r="A62" s="246" t="s">
        <v>442</v>
      </c>
      <c r="B62" s="247" t="s">
        <v>420</v>
      </c>
      <c r="C62" s="436" t="s">
        <v>470</v>
      </c>
      <c r="D62" s="234" t="s">
        <v>796</v>
      </c>
      <c r="E62" s="235"/>
      <c r="F62" s="236"/>
      <c r="G62" s="39"/>
      <c r="H62" s="229">
        <f>G62/6*12</f>
        <v>0</v>
      </c>
      <c r="I62" s="197">
        <f>ROUND(H62*1.1445,-3)</f>
        <v>0</v>
      </c>
      <c r="J62" s="416"/>
    </row>
    <row r="63" spans="1:10" ht="12.75" customHeight="1">
      <c r="A63" s="231"/>
      <c r="B63" s="232" t="s">
        <v>850</v>
      </c>
      <c r="C63" s="440" t="s">
        <v>873</v>
      </c>
      <c r="D63" s="234"/>
      <c r="E63" s="235"/>
      <c r="F63" s="236"/>
      <c r="G63" s="228">
        <f>SUM(G64:G70)</f>
        <v>564422.6000000001</v>
      </c>
      <c r="H63" s="229">
        <f>SUM(H64:H70)</f>
        <v>1376000</v>
      </c>
      <c r="I63" s="230">
        <f>SUM(I64:I70)</f>
        <v>1574000</v>
      </c>
      <c r="J63" s="416"/>
    </row>
    <row r="64" spans="1:10" ht="12.75" customHeight="1">
      <c r="A64" s="246" t="s">
        <v>442</v>
      </c>
      <c r="B64" s="247" t="s">
        <v>851</v>
      </c>
      <c r="C64" s="436" t="s">
        <v>861</v>
      </c>
      <c r="D64" s="234" t="s">
        <v>796</v>
      </c>
      <c r="E64" s="235"/>
      <c r="F64" s="236"/>
      <c r="G64" s="39">
        <v>426942.27</v>
      </c>
      <c r="H64" s="229">
        <v>725000</v>
      </c>
      <c r="I64" s="197">
        <f>ROUND(H64*1.1445,-3)-1000</f>
        <v>829000</v>
      </c>
      <c r="J64" s="416"/>
    </row>
    <row r="65" spans="1:10" ht="12.75" customHeight="1">
      <c r="A65" s="246" t="s">
        <v>442</v>
      </c>
      <c r="B65" s="247" t="s">
        <v>852</v>
      </c>
      <c r="C65" s="436" t="s">
        <v>862</v>
      </c>
      <c r="D65" s="234" t="s">
        <v>796</v>
      </c>
      <c r="E65" s="235"/>
      <c r="F65" s="236"/>
      <c r="G65" s="39">
        <v>87467.96</v>
      </c>
      <c r="H65" s="229">
        <v>146000</v>
      </c>
      <c r="I65" s="197">
        <f aca="true" t="shared" si="3" ref="I65:I76">ROUND(H65*1.1445,-3)</f>
        <v>167000</v>
      </c>
      <c r="J65" s="416"/>
    </row>
    <row r="66" spans="1:10" ht="12.75" customHeight="1">
      <c r="A66" s="246" t="s">
        <v>442</v>
      </c>
      <c r="B66" s="247" t="s">
        <v>853</v>
      </c>
      <c r="C66" s="436" t="s">
        <v>863</v>
      </c>
      <c r="D66" s="234" t="s">
        <v>796</v>
      </c>
      <c r="E66" s="235"/>
      <c r="F66" s="236"/>
      <c r="G66" s="39"/>
      <c r="H66" s="229">
        <f>G66/6*12</f>
        <v>0</v>
      </c>
      <c r="I66" s="197">
        <f t="shared" si="3"/>
        <v>0</v>
      </c>
      <c r="J66" s="416"/>
    </row>
    <row r="67" spans="1:10" ht="12.75" customHeight="1">
      <c r="A67" s="246" t="s">
        <v>442</v>
      </c>
      <c r="B67" s="247" t="s">
        <v>854</v>
      </c>
      <c r="C67" s="436" t="s">
        <v>864</v>
      </c>
      <c r="D67" s="234" t="s">
        <v>796</v>
      </c>
      <c r="E67" s="235"/>
      <c r="F67" s="236"/>
      <c r="G67" s="39">
        <v>1012.78</v>
      </c>
      <c r="H67" s="229">
        <v>2000</v>
      </c>
      <c r="I67" s="197">
        <f t="shared" si="3"/>
        <v>2000</v>
      </c>
      <c r="J67" s="416"/>
    </row>
    <row r="68" spans="1:10" ht="12.75" customHeight="1">
      <c r="A68" s="246" t="s">
        <v>442</v>
      </c>
      <c r="B68" s="247" t="s">
        <v>855</v>
      </c>
      <c r="C68" s="436" t="s">
        <v>865</v>
      </c>
      <c r="D68" s="234" t="s">
        <v>796</v>
      </c>
      <c r="E68" s="235"/>
      <c r="F68" s="236"/>
      <c r="G68" s="39"/>
      <c r="H68" s="229">
        <f>G68/6*12</f>
        <v>0</v>
      </c>
      <c r="I68" s="197">
        <f t="shared" si="3"/>
        <v>0</v>
      </c>
      <c r="J68" s="416"/>
    </row>
    <row r="69" spans="1:10" ht="12.75" customHeight="1">
      <c r="A69" s="246" t="s">
        <v>442</v>
      </c>
      <c r="B69" s="247" t="s">
        <v>856</v>
      </c>
      <c r="C69" s="436" t="s">
        <v>866</v>
      </c>
      <c r="D69" s="234" t="s">
        <v>796</v>
      </c>
      <c r="E69" s="235"/>
      <c r="F69" s="236"/>
      <c r="G69" s="39">
        <v>1570.99</v>
      </c>
      <c r="H69" s="229">
        <v>1000</v>
      </c>
      <c r="I69" s="197">
        <f t="shared" si="3"/>
        <v>1000</v>
      </c>
      <c r="J69" s="416"/>
    </row>
    <row r="70" spans="1:10" ht="12.75" customHeight="1">
      <c r="A70" s="246" t="s">
        <v>442</v>
      </c>
      <c r="B70" s="247" t="s">
        <v>857</v>
      </c>
      <c r="C70" s="436" t="s">
        <v>867</v>
      </c>
      <c r="D70" s="234" t="s">
        <v>796</v>
      </c>
      <c r="E70" s="235"/>
      <c r="F70" s="236"/>
      <c r="G70" s="39">
        <v>47428.6</v>
      </c>
      <c r="H70" s="229">
        <v>502000</v>
      </c>
      <c r="I70" s="197">
        <f t="shared" si="3"/>
        <v>575000</v>
      </c>
      <c r="J70" s="416"/>
    </row>
    <row r="71" spans="1:10" ht="12.75" customHeight="1">
      <c r="A71" s="246" t="s">
        <v>442</v>
      </c>
      <c r="B71" s="247" t="s">
        <v>858</v>
      </c>
      <c r="C71" s="436" t="s">
        <v>868</v>
      </c>
      <c r="D71" s="234" t="s">
        <v>796</v>
      </c>
      <c r="E71" s="235"/>
      <c r="F71" s="236"/>
      <c r="G71" s="39"/>
      <c r="H71" s="229">
        <f aca="true" t="shared" si="4" ref="H71:H82">G71/6*12</f>
        <v>0</v>
      </c>
      <c r="I71" s="197">
        <f t="shared" si="3"/>
        <v>0</v>
      </c>
      <c r="J71" s="416"/>
    </row>
    <row r="72" spans="1:10" ht="12.75" customHeight="1">
      <c r="A72" s="246" t="s">
        <v>442</v>
      </c>
      <c r="B72" s="247" t="s">
        <v>471</v>
      </c>
      <c r="C72" s="436" t="s">
        <v>869</v>
      </c>
      <c r="D72" s="234" t="s">
        <v>796</v>
      </c>
      <c r="E72" s="235"/>
      <c r="F72" s="236"/>
      <c r="G72" s="39"/>
      <c r="H72" s="229">
        <v>10000</v>
      </c>
      <c r="I72" s="197">
        <f t="shared" si="3"/>
        <v>11000</v>
      </c>
      <c r="J72" s="416"/>
    </row>
    <row r="73" spans="1:10" ht="12.75" customHeight="1">
      <c r="A73" s="246" t="s">
        <v>442</v>
      </c>
      <c r="B73" s="247" t="s">
        <v>859</v>
      </c>
      <c r="C73" s="436" t="s">
        <v>870</v>
      </c>
      <c r="D73" s="234" t="s">
        <v>796</v>
      </c>
      <c r="E73" s="235"/>
      <c r="F73" s="236"/>
      <c r="G73" s="39"/>
      <c r="H73" s="229">
        <f t="shared" si="4"/>
        <v>0</v>
      </c>
      <c r="I73" s="197">
        <f t="shared" si="3"/>
        <v>0</v>
      </c>
      <c r="J73" s="416"/>
    </row>
    <row r="74" spans="1:10" ht="12.75" customHeight="1">
      <c r="A74" s="246" t="s">
        <v>442</v>
      </c>
      <c r="B74" s="247" t="s">
        <v>472</v>
      </c>
      <c r="C74" s="436" t="s">
        <v>871</v>
      </c>
      <c r="D74" s="234" t="s">
        <v>796</v>
      </c>
      <c r="E74" s="235"/>
      <c r="F74" s="236"/>
      <c r="G74" s="39">
        <v>277.3</v>
      </c>
      <c r="H74" s="229">
        <v>10000</v>
      </c>
      <c r="I74" s="197">
        <f t="shared" si="3"/>
        <v>11000</v>
      </c>
      <c r="J74" s="416"/>
    </row>
    <row r="75" spans="1:10" ht="12.75" customHeight="1">
      <c r="A75" s="246" t="s">
        <v>442</v>
      </c>
      <c r="B75" s="247" t="s">
        <v>860</v>
      </c>
      <c r="C75" s="436" t="s">
        <v>872</v>
      </c>
      <c r="D75" s="234" t="s">
        <v>796</v>
      </c>
      <c r="E75" s="235"/>
      <c r="F75" s="236"/>
      <c r="G75" s="39"/>
      <c r="H75" s="229">
        <f t="shared" si="4"/>
        <v>0</v>
      </c>
      <c r="I75" s="197">
        <f t="shared" si="3"/>
        <v>0</v>
      </c>
      <c r="J75" s="416"/>
    </row>
    <row r="76" spans="1:10" ht="12.75" customHeight="1">
      <c r="A76" s="246" t="s">
        <v>442</v>
      </c>
      <c r="B76" s="247" t="s">
        <v>999</v>
      </c>
      <c r="C76" s="436" t="s">
        <v>1000</v>
      </c>
      <c r="D76" s="234" t="s">
        <v>796</v>
      </c>
      <c r="E76" s="235"/>
      <c r="F76" s="236"/>
      <c r="G76" s="39"/>
      <c r="H76" s="229">
        <f>G76/6*12</f>
        <v>0</v>
      </c>
      <c r="I76" s="197">
        <f t="shared" si="3"/>
        <v>0</v>
      </c>
      <c r="J76" s="416"/>
    </row>
    <row r="77" spans="1:10" ht="12.75" customHeight="1">
      <c r="A77" s="246" t="s">
        <v>442</v>
      </c>
      <c r="B77" s="247" t="s">
        <v>1024</v>
      </c>
      <c r="C77" s="436" t="s">
        <v>1025</v>
      </c>
      <c r="D77" s="234" t="s">
        <v>796</v>
      </c>
      <c r="E77" s="235"/>
      <c r="F77" s="236"/>
      <c r="G77" s="39"/>
      <c r="H77" s="229">
        <f>G77/6*12</f>
        <v>0</v>
      </c>
      <c r="I77" s="197">
        <f>ROUND(H77*1.1445,-3)</f>
        <v>0</v>
      </c>
      <c r="J77" s="416"/>
    </row>
    <row r="78" spans="1:10" ht="12.75" customHeight="1">
      <c r="A78" s="231"/>
      <c r="B78" s="232"/>
      <c r="C78" s="434"/>
      <c r="D78" s="234"/>
      <c r="E78" s="235"/>
      <c r="F78" s="236"/>
      <c r="G78" s="368"/>
      <c r="H78" s="229"/>
      <c r="I78" s="47"/>
      <c r="J78" s="416"/>
    </row>
    <row r="79" spans="1:10" ht="12.75" customHeight="1">
      <c r="A79" s="231"/>
      <c r="B79" s="232" t="s">
        <v>936</v>
      </c>
      <c r="C79" s="434" t="s">
        <v>952</v>
      </c>
      <c r="D79" s="234"/>
      <c r="E79" s="235"/>
      <c r="F79" s="236"/>
      <c r="G79" s="228">
        <f>G80+G81</f>
        <v>0</v>
      </c>
      <c r="H79" s="229">
        <f>H80+H81</f>
        <v>0</v>
      </c>
      <c r="I79" s="230">
        <f>I80+I81</f>
        <v>0</v>
      </c>
      <c r="J79" s="416"/>
    </row>
    <row r="80" spans="1:10" ht="12.75" customHeight="1">
      <c r="A80" s="252" t="s">
        <v>440</v>
      </c>
      <c r="B80" s="253" t="s">
        <v>951</v>
      </c>
      <c r="C80" s="439" t="s">
        <v>953</v>
      </c>
      <c r="D80" s="234" t="s">
        <v>778</v>
      </c>
      <c r="E80" s="235"/>
      <c r="F80" s="236"/>
      <c r="G80" s="45"/>
      <c r="H80" s="229">
        <f t="shared" si="4"/>
        <v>0</v>
      </c>
      <c r="I80" s="46">
        <f>ROUND(H80*1.1445,-3)</f>
        <v>0</v>
      </c>
      <c r="J80" s="416"/>
    </row>
    <row r="81" spans="1:10" ht="12.75" customHeight="1">
      <c r="A81" s="246" t="s">
        <v>442</v>
      </c>
      <c r="B81" s="247" t="s">
        <v>937</v>
      </c>
      <c r="C81" s="436" t="s">
        <v>938</v>
      </c>
      <c r="D81" s="234" t="s">
        <v>796</v>
      </c>
      <c r="E81" s="235"/>
      <c r="F81" s="236"/>
      <c r="G81" s="39"/>
      <c r="H81" s="229">
        <f t="shared" si="4"/>
        <v>0</v>
      </c>
      <c r="I81" s="197">
        <f>ROUND(H81*1.1445,-3)</f>
        <v>0</v>
      </c>
      <c r="J81" s="416"/>
    </row>
    <row r="82" spans="1:10" ht="12.75" customHeight="1">
      <c r="A82" s="246" t="s">
        <v>442</v>
      </c>
      <c r="B82" s="247" t="s">
        <v>39</v>
      </c>
      <c r="C82" s="436" t="s">
        <v>38</v>
      </c>
      <c r="D82" s="234" t="s">
        <v>796</v>
      </c>
      <c r="E82" s="235"/>
      <c r="F82" s="236"/>
      <c r="G82" s="39"/>
      <c r="H82" s="229">
        <f t="shared" si="4"/>
        <v>0</v>
      </c>
      <c r="I82" s="197">
        <f>ROUND(H82*1.1445,-3)</f>
        <v>0</v>
      </c>
      <c r="J82" s="416"/>
    </row>
    <row r="83" spans="1:10" ht="12.75" customHeight="1">
      <c r="A83" s="231"/>
      <c r="B83" s="232"/>
      <c r="C83" s="434"/>
      <c r="D83" s="234"/>
      <c r="E83" s="235"/>
      <c r="F83" s="236"/>
      <c r="G83" s="228"/>
      <c r="H83" s="229"/>
      <c r="I83" s="230"/>
      <c r="J83" s="416"/>
    </row>
    <row r="84" spans="1:10" ht="12.75" customHeight="1">
      <c r="A84" s="231"/>
      <c r="B84" s="232" t="s">
        <v>40</v>
      </c>
      <c r="C84" s="434" t="s">
        <v>555</v>
      </c>
      <c r="D84" s="234"/>
      <c r="E84" s="235"/>
      <c r="F84" s="236"/>
      <c r="G84" s="228">
        <f>G85</f>
        <v>6054.65</v>
      </c>
      <c r="H84" s="229">
        <f>H85</f>
        <v>22000</v>
      </c>
      <c r="I84" s="230">
        <f>I85</f>
        <v>27000</v>
      </c>
      <c r="J84" s="416"/>
    </row>
    <row r="85" spans="1:10" ht="12.75" customHeight="1">
      <c r="A85" s="231" t="s">
        <v>441</v>
      </c>
      <c r="B85" s="232" t="s">
        <v>41</v>
      </c>
      <c r="C85" s="434" t="s">
        <v>261</v>
      </c>
      <c r="D85" s="234" t="s">
        <v>778</v>
      </c>
      <c r="E85" s="235"/>
      <c r="F85" s="236"/>
      <c r="G85" s="35">
        <v>6054.65</v>
      </c>
      <c r="H85" s="229">
        <v>22000</v>
      </c>
      <c r="I85" s="546">
        <f>ROUND(H85*1.1445,-3)+2000</f>
        <v>27000</v>
      </c>
      <c r="J85" s="416"/>
    </row>
    <row r="86" spans="1:10" ht="12.75" customHeight="1">
      <c r="A86" s="231"/>
      <c r="B86" s="232"/>
      <c r="C86" s="434"/>
      <c r="D86" s="234"/>
      <c r="E86" s="235"/>
      <c r="F86" s="236"/>
      <c r="G86" s="228"/>
      <c r="H86" s="229"/>
      <c r="I86" s="230"/>
      <c r="J86" s="416"/>
    </row>
    <row r="87" spans="1:10" ht="12.75" customHeight="1">
      <c r="A87" s="231"/>
      <c r="B87" s="232" t="s">
        <v>43</v>
      </c>
      <c r="C87" s="434" t="s">
        <v>42</v>
      </c>
      <c r="D87" s="234"/>
      <c r="E87" s="235"/>
      <c r="F87" s="236"/>
      <c r="G87" s="228">
        <f>G88+G99+G133</f>
        <v>97107.34</v>
      </c>
      <c r="H87" s="229">
        <f>H88+H99+H133</f>
        <v>199000</v>
      </c>
      <c r="I87" s="230">
        <f>I88+I99+I133</f>
        <v>228000</v>
      </c>
      <c r="J87" s="416"/>
    </row>
    <row r="88" spans="1:10" ht="12.75" customHeight="1">
      <c r="A88" s="231"/>
      <c r="B88" s="242" t="s">
        <v>45</v>
      </c>
      <c r="C88" s="434" t="s">
        <v>44</v>
      </c>
      <c r="D88" s="234"/>
      <c r="E88" s="235"/>
      <c r="F88" s="236"/>
      <c r="G88" s="228">
        <f>SUM(G89)</f>
        <v>0</v>
      </c>
      <c r="H88" s="229">
        <f>SUM(H89:H97)</f>
        <v>0</v>
      </c>
      <c r="I88" s="230">
        <f>SUM(I93:I97)+I89</f>
        <v>0</v>
      </c>
      <c r="J88" s="416"/>
    </row>
    <row r="89" spans="1:10" ht="12.75" customHeight="1">
      <c r="A89" s="231" t="s">
        <v>441</v>
      </c>
      <c r="B89" s="242" t="s">
        <v>47</v>
      </c>
      <c r="C89" s="434" t="s">
        <v>46</v>
      </c>
      <c r="D89" s="234"/>
      <c r="E89" s="235"/>
      <c r="F89" s="236"/>
      <c r="G89" s="368">
        <f>SUM(G90:G97)</f>
        <v>0</v>
      </c>
      <c r="H89" s="368">
        <f>SUM(H90:H91)</f>
        <v>0</v>
      </c>
      <c r="I89" s="368">
        <f>SUM(I90:I91)</f>
        <v>0</v>
      </c>
      <c r="J89" s="416"/>
    </row>
    <row r="90" spans="1:10" ht="12.75" customHeight="1">
      <c r="A90" s="252" t="s">
        <v>440</v>
      </c>
      <c r="B90" s="540" t="s">
        <v>990</v>
      </c>
      <c r="C90" s="439" t="s">
        <v>988</v>
      </c>
      <c r="D90" s="234" t="s">
        <v>778</v>
      </c>
      <c r="E90" s="235"/>
      <c r="F90" s="236"/>
      <c r="G90" s="45"/>
      <c r="H90" s="229">
        <f aca="true" t="shared" si="5" ref="H90:H97">G90/6*12</f>
        <v>0</v>
      </c>
      <c r="I90" s="46">
        <f aca="true" t="shared" si="6" ref="I90:I97">ROUND(H90*1.1445,-3)</f>
        <v>0</v>
      </c>
      <c r="J90" s="416"/>
    </row>
    <row r="91" spans="1:10" ht="12.75" customHeight="1">
      <c r="A91" s="231" t="s">
        <v>441</v>
      </c>
      <c r="B91" s="242" t="s">
        <v>1032</v>
      </c>
      <c r="C91" s="434" t="s">
        <v>989</v>
      </c>
      <c r="D91" s="234" t="s">
        <v>778</v>
      </c>
      <c r="E91" s="235"/>
      <c r="F91" s="236"/>
      <c r="G91" s="35"/>
      <c r="H91" s="229">
        <f t="shared" si="5"/>
        <v>0</v>
      </c>
      <c r="I91" s="36">
        <f t="shared" si="6"/>
        <v>0</v>
      </c>
      <c r="J91" s="416"/>
    </row>
    <row r="92" spans="1:10" ht="12.75" customHeight="1">
      <c r="A92" s="231"/>
      <c r="B92" s="242"/>
      <c r="C92" s="434"/>
      <c r="D92" s="234"/>
      <c r="E92" s="235"/>
      <c r="F92" s="236"/>
      <c r="G92" s="368"/>
      <c r="H92" s="229"/>
      <c r="I92" s="47"/>
      <c r="J92" s="416"/>
    </row>
    <row r="93" spans="1:10" ht="12.75" customHeight="1">
      <c r="A93" s="231" t="s">
        <v>441</v>
      </c>
      <c r="B93" s="242" t="s">
        <v>49</v>
      </c>
      <c r="C93" s="434" t="s">
        <v>48</v>
      </c>
      <c r="D93" s="234" t="s">
        <v>778</v>
      </c>
      <c r="E93" s="235"/>
      <c r="F93" s="236"/>
      <c r="G93" s="35"/>
      <c r="H93" s="229">
        <f t="shared" si="5"/>
        <v>0</v>
      </c>
      <c r="I93" s="36">
        <f t="shared" si="6"/>
        <v>0</v>
      </c>
      <c r="J93" s="416"/>
    </row>
    <row r="94" spans="1:10" ht="12.75" customHeight="1">
      <c r="A94" s="231" t="s">
        <v>441</v>
      </c>
      <c r="B94" s="242" t="s">
        <v>671</v>
      </c>
      <c r="C94" s="434" t="s">
        <v>673</v>
      </c>
      <c r="D94" s="234" t="s">
        <v>778</v>
      </c>
      <c r="E94" s="235"/>
      <c r="F94" s="236"/>
      <c r="G94" s="35"/>
      <c r="H94" s="229">
        <f t="shared" si="5"/>
        <v>0</v>
      </c>
      <c r="I94" s="36">
        <f t="shared" si="6"/>
        <v>0</v>
      </c>
      <c r="J94" s="416"/>
    </row>
    <row r="95" spans="1:10" ht="12.75" customHeight="1">
      <c r="A95" s="231" t="s">
        <v>441</v>
      </c>
      <c r="B95" s="242" t="s">
        <v>672</v>
      </c>
      <c r="C95" s="434" t="s">
        <v>674</v>
      </c>
      <c r="D95" s="234" t="s">
        <v>778</v>
      </c>
      <c r="E95" s="235"/>
      <c r="F95" s="236"/>
      <c r="G95" s="35"/>
      <c r="H95" s="229">
        <f t="shared" si="5"/>
        <v>0</v>
      </c>
      <c r="I95" s="36">
        <f t="shared" si="6"/>
        <v>0</v>
      </c>
      <c r="J95" s="416"/>
    </row>
    <row r="96" spans="1:10" ht="12.75" customHeight="1">
      <c r="A96" s="231" t="s">
        <v>441</v>
      </c>
      <c r="B96" s="242" t="s">
        <v>51</v>
      </c>
      <c r="C96" s="434" t="s">
        <v>50</v>
      </c>
      <c r="D96" s="234" t="s">
        <v>778</v>
      </c>
      <c r="E96" s="235"/>
      <c r="F96" s="236"/>
      <c r="G96" s="35"/>
      <c r="H96" s="229">
        <f t="shared" si="5"/>
        <v>0</v>
      </c>
      <c r="I96" s="36">
        <f t="shared" si="6"/>
        <v>0</v>
      </c>
      <c r="J96" s="416"/>
    </row>
    <row r="97" spans="1:10" ht="12.75" customHeight="1">
      <c r="A97" s="231" t="s">
        <v>441</v>
      </c>
      <c r="B97" s="242" t="s">
        <v>874</v>
      </c>
      <c r="C97" s="434" t="s">
        <v>875</v>
      </c>
      <c r="D97" s="234" t="s">
        <v>778</v>
      </c>
      <c r="E97" s="235"/>
      <c r="F97" s="236"/>
      <c r="G97" s="35"/>
      <c r="H97" s="229">
        <f t="shared" si="5"/>
        <v>0</v>
      </c>
      <c r="I97" s="36">
        <f t="shared" si="6"/>
        <v>0</v>
      </c>
      <c r="J97" s="416"/>
    </row>
    <row r="98" spans="1:10" ht="12.75" customHeight="1">
      <c r="A98" s="231"/>
      <c r="B98" s="232"/>
      <c r="C98" s="434"/>
      <c r="D98" s="234"/>
      <c r="E98" s="235"/>
      <c r="F98" s="236"/>
      <c r="G98" s="228"/>
      <c r="H98" s="229"/>
      <c r="I98" s="230"/>
      <c r="J98" s="416"/>
    </row>
    <row r="99" spans="1:10" ht="12.75" customHeight="1">
      <c r="A99" s="231"/>
      <c r="B99" s="232" t="s">
        <v>52</v>
      </c>
      <c r="C99" s="434" t="s">
        <v>262</v>
      </c>
      <c r="D99" s="234"/>
      <c r="E99" s="235"/>
      <c r="F99" s="236"/>
      <c r="G99" s="228">
        <f>G100+G104+G106+G132+G127</f>
        <v>97107.34</v>
      </c>
      <c r="H99" s="229">
        <f>H100+H104+H106+H132+H127</f>
        <v>199000</v>
      </c>
      <c r="I99" s="230">
        <f>I100+I104+I106+I132+I127</f>
        <v>228000</v>
      </c>
      <c r="J99" s="416"/>
    </row>
    <row r="100" spans="1:10" ht="12.75" customHeight="1">
      <c r="A100" s="231"/>
      <c r="B100" s="232" t="s">
        <v>53</v>
      </c>
      <c r="C100" s="434" t="s">
        <v>297</v>
      </c>
      <c r="D100" s="234"/>
      <c r="E100" s="235"/>
      <c r="F100" s="236"/>
      <c r="G100" s="228">
        <f>G101+G103</f>
        <v>0</v>
      </c>
      <c r="H100" s="229">
        <f>H101+H103</f>
        <v>0</v>
      </c>
      <c r="I100" s="230">
        <f>I101+I103</f>
        <v>0</v>
      </c>
      <c r="J100" s="416"/>
    </row>
    <row r="101" spans="1:10" ht="12.75" customHeight="1">
      <c r="A101" s="231"/>
      <c r="B101" s="232" t="s">
        <v>689</v>
      </c>
      <c r="C101" s="434" t="s">
        <v>690</v>
      </c>
      <c r="D101" s="234"/>
      <c r="E101" s="235"/>
      <c r="F101" s="236"/>
      <c r="G101" s="228">
        <f>G102</f>
        <v>0</v>
      </c>
      <c r="H101" s="229">
        <f>H102</f>
        <v>0</v>
      </c>
      <c r="I101" s="230">
        <f>I102</f>
        <v>0</v>
      </c>
      <c r="J101" s="416"/>
    </row>
    <row r="102" spans="1:10" ht="12.75" customHeight="1">
      <c r="A102" s="246" t="s">
        <v>442</v>
      </c>
      <c r="B102" s="247" t="s">
        <v>691</v>
      </c>
      <c r="C102" s="436" t="s">
        <v>692</v>
      </c>
      <c r="D102" s="234" t="s">
        <v>796</v>
      </c>
      <c r="E102" s="235"/>
      <c r="F102" s="236"/>
      <c r="G102" s="39"/>
      <c r="H102" s="229">
        <f>G102/6*12</f>
        <v>0</v>
      </c>
      <c r="I102" s="197">
        <f>ROUND(H102*1.1445,-3)</f>
        <v>0</v>
      </c>
      <c r="J102" s="416"/>
    </row>
    <row r="103" spans="1:10" ht="12.75" customHeight="1">
      <c r="A103" s="231" t="s">
        <v>441</v>
      </c>
      <c r="B103" s="232" t="s">
        <v>54</v>
      </c>
      <c r="C103" s="434" t="s">
        <v>298</v>
      </c>
      <c r="D103" s="234" t="s">
        <v>778</v>
      </c>
      <c r="E103" s="235"/>
      <c r="F103" s="236"/>
      <c r="G103" s="35"/>
      <c r="H103" s="229">
        <f>G103/6*12</f>
        <v>0</v>
      </c>
      <c r="I103" s="36">
        <f>ROUND(H103*1.1445,-3)</f>
        <v>0</v>
      </c>
      <c r="J103" s="416"/>
    </row>
    <row r="104" spans="1:10" ht="12.75" customHeight="1">
      <c r="A104" s="231" t="s">
        <v>441</v>
      </c>
      <c r="B104" s="232" t="s">
        <v>55</v>
      </c>
      <c r="C104" s="434" t="s">
        <v>299</v>
      </c>
      <c r="D104" s="234" t="s">
        <v>778</v>
      </c>
      <c r="E104" s="235"/>
      <c r="F104" s="236"/>
      <c r="G104" s="35"/>
      <c r="H104" s="229">
        <v>1000</v>
      </c>
      <c r="I104" s="36">
        <f>ROUND(H104*1.1445,-3)</f>
        <v>1000</v>
      </c>
      <c r="J104" s="416"/>
    </row>
    <row r="105" spans="1:10" ht="12.75" customHeight="1">
      <c r="A105" s="231"/>
      <c r="B105" s="232"/>
      <c r="C105" s="434"/>
      <c r="D105" s="234"/>
      <c r="E105" s="235"/>
      <c r="F105" s="236"/>
      <c r="G105" s="228"/>
      <c r="H105" s="229"/>
      <c r="I105" s="230"/>
      <c r="J105" s="416"/>
    </row>
    <row r="106" spans="1:10" ht="12.75" customHeight="1">
      <c r="A106" s="231"/>
      <c r="B106" s="232" t="s">
        <v>56</v>
      </c>
      <c r="C106" s="434" t="s">
        <v>300</v>
      </c>
      <c r="D106" s="234"/>
      <c r="E106" s="235"/>
      <c r="F106" s="236"/>
      <c r="G106" s="228">
        <f>G107+G122</f>
        <v>58108.53999999999</v>
      </c>
      <c r="H106" s="229">
        <f>H107+H122</f>
        <v>80000</v>
      </c>
      <c r="I106" s="230">
        <f>I107+I122</f>
        <v>92000</v>
      </c>
      <c r="J106" s="416"/>
    </row>
    <row r="107" spans="1:10" ht="12.75" customHeight="1">
      <c r="A107" s="231"/>
      <c r="B107" s="232" t="s">
        <v>57</v>
      </c>
      <c r="C107" s="434" t="s">
        <v>607</v>
      </c>
      <c r="D107" s="234"/>
      <c r="E107" s="235"/>
      <c r="F107" s="236"/>
      <c r="G107" s="228">
        <f>SUM(G108:G116)</f>
        <v>58108.53999999999</v>
      </c>
      <c r="H107" s="229">
        <f>SUM(H108:H116)</f>
        <v>80000</v>
      </c>
      <c r="I107" s="230">
        <f>SUM(I108:I116)</f>
        <v>92000</v>
      </c>
      <c r="J107" s="416"/>
    </row>
    <row r="108" spans="1:10" ht="12.75" customHeight="1">
      <c r="A108" s="231" t="s">
        <v>441</v>
      </c>
      <c r="B108" s="232" t="s">
        <v>608</v>
      </c>
      <c r="C108" s="434" t="s">
        <v>609</v>
      </c>
      <c r="D108" s="234" t="s">
        <v>778</v>
      </c>
      <c r="E108" s="235"/>
      <c r="F108" s="236"/>
      <c r="G108" s="35"/>
      <c r="H108" s="229">
        <f aca="true" t="shared" si="7" ref="H108:H119">G108/6*12</f>
        <v>0</v>
      </c>
      <c r="I108" s="36">
        <f aca="true" t="shared" si="8" ref="I108:I115">ROUND(H108*1.1445,-3)</f>
        <v>0</v>
      </c>
      <c r="J108" s="416"/>
    </row>
    <row r="109" spans="1:10" ht="12.75" customHeight="1">
      <c r="A109" s="231" t="s">
        <v>468</v>
      </c>
      <c r="B109" s="232" t="s">
        <v>487</v>
      </c>
      <c r="C109" s="434" t="s">
        <v>610</v>
      </c>
      <c r="D109" s="234" t="s">
        <v>784</v>
      </c>
      <c r="E109" s="235" t="s">
        <v>785</v>
      </c>
      <c r="F109" s="236"/>
      <c r="G109" s="35">
        <v>22118.89</v>
      </c>
      <c r="H109" s="229">
        <v>10000</v>
      </c>
      <c r="I109" s="546">
        <f>ROUND(H109*1.1445,-3)+1000+28000</f>
        <v>40000</v>
      </c>
      <c r="J109" s="416"/>
    </row>
    <row r="110" spans="1:10" ht="12.75" customHeight="1">
      <c r="A110" s="244" t="s">
        <v>439</v>
      </c>
      <c r="B110" s="245" t="s">
        <v>488</v>
      </c>
      <c r="C110" s="438" t="s">
        <v>611</v>
      </c>
      <c r="D110" s="234" t="s">
        <v>779</v>
      </c>
      <c r="E110" s="235"/>
      <c r="F110" s="236"/>
      <c r="G110" s="37">
        <v>8048.23</v>
      </c>
      <c r="H110" s="229">
        <v>7000</v>
      </c>
      <c r="I110" s="38">
        <v>20000</v>
      </c>
      <c r="J110" s="416"/>
    </row>
    <row r="111" spans="1:10" ht="12.75" customHeight="1">
      <c r="A111" s="244" t="s">
        <v>439</v>
      </c>
      <c r="B111" s="245" t="s">
        <v>965</v>
      </c>
      <c r="C111" s="438" t="s">
        <v>963</v>
      </c>
      <c r="D111" s="234" t="s">
        <v>789</v>
      </c>
      <c r="E111" s="235"/>
      <c r="F111" s="236"/>
      <c r="G111" s="37"/>
      <c r="H111" s="229">
        <f>G111/6*12</f>
        <v>0</v>
      </c>
      <c r="I111" s="38">
        <f t="shared" si="8"/>
        <v>0</v>
      </c>
      <c r="J111" s="416"/>
    </row>
    <row r="112" spans="1:10" ht="12.75" customHeight="1">
      <c r="A112" s="231" t="s">
        <v>468</v>
      </c>
      <c r="B112" s="232" t="s">
        <v>612</v>
      </c>
      <c r="C112" s="434" t="s">
        <v>1033</v>
      </c>
      <c r="D112" s="234" t="s">
        <v>782</v>
      </c>
      <c r="E112" s="235"/>
      <c r="F112" s="236"/>
      <c r="G112" s="35"/>
      <c r="H112" s="229">
        <f t="shared" si="7"/>
        <v>0</v>
      </c>
      <c r="I112" s="36">
        <f t="shared" si="8"/>
        <v>0</v>
      </c>
      <c r="J112" s="416"/>
    </row>
    <row r="113" spans="1:10" ht="12.75" customHeight="1">
      <c r="A113" s="231" t="s">
        <v>441</v>
      </c>
      <c r="B113" s="232" t="s">
        <v>489</v>
      </c>
      <c r="C113" s="434" t="s">
        <v>301</v>
      </c>
      <c r="D113" s="234" t="s">
        <v>778</v>
      </c>
      <c r="E113" s="235"/>
      <c r="F113" s="236"/>
      <c r="G113" s="35"/>
      <c r="H113" s="229">
        <f t="shared" si="7"/>
        <v>0</v>
      </c>
      <c r="I113" s="36">
        <f t="shared" si="8"/>
        <v>0</v>
      </c>
      <c r="J113" s="416"/>
    </row>
    <row r="114" spans="1:10" ht="12.75" customHeight="1">
      <c r="A114" s="248" t="s">
        <v>438</v>
      </c>
      <c r="B114" s="249" t="s">
        <v>490</v>
      </c>
      <c r="C114" s="441" t="s">
        <v>482</v>
      </c>
      <c r="D114" s="234" t="s">
        <v>780</v>
      </c>
      <c r="E114" s="235"/>
      <c r="F114" s="236"/>
      <c r="G114" s="41">
        <v>1499.12</v>
      </c>
      <c r="H114" s="229">
        <v>1000</v>
      </c>
      <c r="I114" s="199">
        <f>ROUND(H114*1.1445,-3)+1000</f>
        <v>2000</v>
      </c>
      <c r="J114" s="416"/>
    </row>
    <row r="115" spans="1:10" ht="12.75" customHeight="1">
      <c r="A115" s="231" t="s">
        <v>441</v>
      </c>
      <c r="B115" s="232" t="s">
        <v>966</v>
      </c>
      <c r="C115" s="434" t="s">
        <v>967</v>
      </c>
      <c r="D115" s="234" t="s">
        <v>791</v>
      </c>
      <c r="E115" s="235"/>
      <c r="F115" s="236"/>
      <c r="G115" s="35"/>
      <c r="H115" s="229">
        <f>G115/6*12</f>
        <v>0</v>
      </c>
      <c r="I115" s="36">
        <f t="shared" si="8"/>
        <v>0</v>
      </c>
      <c r="J115" s="416"/>
    </row>
    <row r="116" spans="1:10" ht="12.75" customHeight="1">
      <c r="A116" s="231"/>
      <c r="B116" s="232" t="s">
        <v>491</v>
      </c>
      <c r="C116" s="434" t="s">
        <v>302</v>
      </c>
      <c r="D116" s="234"/>
      <c r="E116" s="235"/>
      <c r="F116" s="236"/>
      <c r="G116" s="230">
        <f>SUM(G117:G120)</f>
        <v>26442.3</v>
      </c>
      <c r="H116" s="230">
        <f>SUM(H117:H120)</f>
        <v>62000</v>
      </c>
      <c r="I116" s="230">
        <f>SUM(I117:I120)</f>
        <v>30000</v>
      </c>
      <c r="J116" s="416"/>
    </row>
    <row r="117" spans="1:10" ht="12.75" customHeight="1">
      <c r="A117" s="250" t="s">
        <v>434</v>
      </c>
      <c r="B117" s="251" t="s">
        <v>589</v>
      </c>
      <c r="C117" s="442" t="s">
        <v>593</v>
      </c>
      <c r="D117" s="234" t="s">
        <v>778</v>
      </c>
      <c r="E117" s="235"/>
      <c r="F117" s="236"/>
      <c r="G117" s="43"/>
      <c r="H117" s="229">
        <f t="shared" si="7"/>
        <v>0</v>
      </c>
      <c r="I117" s="44">
        <f>ROUND(H117*1.1445,-3)</f>
        <v>0</v>
      </c>
      <c r="J117" s="416"/>
    </row>
    <row r="118" spans="1:10" ht="12.75" customHeight="1">
      <c r="A118" s="252" t="s">
        <v>595</v>
      </c>
      <c r="B118" s="253" t="s">
        <v>590</v>
      </c>
      <c r="C118" s="439" t="s">
        <v>594</v>
      </c>
      <c r="D118" s="234" t="s">
        <v>778</v>
      </c>
      <c r="E118" s="235"/>
      <c r="F118" s="236"/>
      <c r="G118" s="45"/>
      <c r="H118" s="229">
        <f t="shared" si="7"/>
        <v>0</v>
      </c>
      <c r="I118" s="46">
        <f>ROUND(H118*1.1445,-3)</f>
        <v>0</v>
      </c>
      <c r="J118" s="416"/>
    </row>
    <row r="119" spans="1:10" ht="12.75" customHeight="1">
      <c r="A119" s="246" t="s">
        <v>442</v>
      </c>
      <c r="B119" s="247" t="s">
        <v>591</v>
      </c>
      <c r="C119" s="436" t="s">
        <v>592</v>
      </c>
      <c r="D119" s="234" t="s">
        <v>796</v>
      </c>
      <c r="E119" s="235"/>
      <c r="F119" s="236"/>
      <c r="G119" s="39"/>
      <c r="H119" s="229">
        <f t="shared" si="7"/>
        <v>0</v>
      </c>
      <c r="I119" s="40">
        <f>ROUND(H119*1.1445,-3)</f>
        <v>0</v>
      </c>
      <c r="J119" s="416"/>
    </row>
    <row r="120" spans="1:10" ht="12.75" customHeight="1">
      <c r="A120" s="231" t="s">
        <v>441</v>
      </c>
      <c r="B120" s="232" t="s">
        <v>600</v>
      </c>
      <c r="C120" s="434" t="s">
        <v>601</v>
      </c>
      <c r="D120" s="234" t="s">
        <v>778</v>
      </c>
      <c r="E120" s="235"/>
      <c r="F120" s="236"/>
      <c r="G120" s="35">
        <v>26442.3</v>
      </c>
      <c r="H120" s="229">
        <v>62000</v>
      </c>
      <c r="I120" s="36">
        <f>ROUND(H120*1.1445,-3)-1000-28000-12000</f>
        <v>30000</v>
      </c>
      <c r="J120" s="416"/>
    </row>
    <row r="121" spans="1:10" ht="12.75" customHeight="1">
      <c r="A121" s="231"/>
      <c r="B121" s="232"/>
      <c r="C121" s="434"/>
      <c r="D121" s="234"/>
      <c r="E121" s="235"/>
      <c r="F121" s="236"/>
      <c r="G121" s="228"/>
      <c r="H121" s="229"/>
      <c r="I121" s="230"/>
      <c r="J121" s="416"/>
    </row>
    <row r="122" spans="1:10" ht="12.75" customHeight="1">
      <c r="A122" s="231"/>
      <c r="B122" s="232" t="s">
        <v>613</v>
      </c>
      <c r="C122" s="434" t="s">
        <v>614</v>
      </c>
      <c r="D122" s="234"/>
      <c r="E122" s="235"/>
      <c r="F122" s="236"/>
      <c r="G122" s="228">
        <f>G123</f>
        <v>0</v>
      </c>
      <c r="H122" s="229">
        <f>H123</f>
        <v>0</v>
      </c>
      <c r="I122" s="230">
        <f>I123</f>
        <v>0</v>
      </c>
      <c r="J122" s="416"/>
    </row>
    <row r="123" spans="1:10" ht="12.75" customHeight="1">
      <c r="A123" s="231"/>
      <c r="B123" s="232" t="s">
        <v>615</v>
      </c>
      <c r="C123" s="434" t="s">
        <v>616</v>
      </c>
      <c r="D123" s="234"/>
      <c r="E123" s="235"/>
      <c r="F123" s="236"/>
      <c r="G123" s="228">
        <f>G124+G125</f>
        <v>0</v>
      </c>
      <c r="H123" s="229">
        <f>H124+H125</f>
        <v>0</v>
      </c>
      <c r="I123" s="230">
        <f>I124+I125</f>
        <v>0</v>
      </c>
      <c r="J123" s="416"/>
    </row>
    <row r="124" spans="1:10" ht="12.75" customHeight="1">
      <c r="A124" s="244" t="s">
        <v>439</v>
      </c>
      <c r="B124" s="245" t="s">
        <v>700</v>
      </c>
      <c r="C124" s="438" t="s">
        <v>699</v>
      </c>
      <c r="D124" s="234" t="s">
        <v>778</v>
      </c>
      <c r="E124" s="235"/>
      <c r="F124" s="236"/>
      <c r="G124" s="37"/>
      <c r="H124" s="229">
        <f>G124/6*12</f>
        <v>0</v>
      </c>
      <c r="I124" s="38">
        <f>ROUND(H124*1.1445,-3)</f>
        <v>0</v>
      </c>
      <c r="J124" s="416"/>
    </row>
    <row r="125" spans="1:10" ht="12.75" customHeight="1">
      <c r="A125" s="231"/>
      <c r="B125" s="232" t="s">
        <v>701</v>
      </c>
      <c r="C125" s="434" t="s">
        <v>702</v>
      </c>
      <c r="D125" s="234" t="s">
        <v>778</v>
      </c>
      <c r="E125" s="235"/>
      <c r="F125" s="236"/>
      <c r="G125" s="35"/>
      <c r="H125" s="229">
        <f>G125/6*12</f>
        <v>0</v>
      </c>
      <c r="I125" s="36">
        <f>ROUND(H125*1.1445,-3)</f>
        <v>0</v>
      </c>
      <c r="J125" s="416"/>
    </row>
    <row r="126" spans="1:10" ht="12.75" customHeight="1">
      <c r="A126" s="231"/>
      <c r="B126" s="232"/>
      <c r="C126" s="434"/>
      <c r="D126" s="234"/>
      <c r="E126" s="235"/>
      <c r="F126" s="236"/>
      <c r="G126" s="228"/>
      <c r="H126" s="229"/>
      <c r="I126" s="230"/>
      <c r="J126" s="416"/>
    </row>
    <row r="127" spans="1:10" ht="12.75" customHeight="1">
      <c r="A127" s="231"/>
      <c r="B127" s="232" t="s">
        <v>631</v>
      </c>
      <c r="C127" s="434" t="s">
        <v>632</v>
      </c>
      <c r="D127" s="234"/>
      <c r="E127" s="235"/>
      <c r="F127" s="236"/>
      <c r="G127" s="228">
        <f>SUM(G128:G130)</f>
        <v>38998.8</v>
      </c>
      <c r="H127" s="229">
        <f>SUM(H128:H130)</f>
        <v>118000</v>
      </c>
      <c r="I127" s="230">
        <f>SUM(I128:I130)</f>
        <v>135000</v>
      </c>
      <c r="J127" s="416"/>
    </row>
    <row r="128" spans="1:10" ht="12.75" customHeight="1">
      <c r="A128" s="246" t="s">
        <v>442</v>
      </c>
      <c r="B128" s="247" t="s">
        <v>876</v>
      </c>
      <c r="C128" s="436" t="s">
        <v>879</v>
      </c>
      <c r="D128" s="234" t="s">
        <v>796</v>
      </c>
      <c r="E128" s="235"/>
      <c r="F128" s="236"/>
      <c r="G128" s="39"/>
      <c r="H128" s="229">
        <f>G128/6*12</f>
        <v>0</v>
      </c>
      <c r="I128" s="40">
        <f>ROUND(H128*1.1445,-3)</f>
        <v>0</v>
      </c>
      <c r="J128" s="416"/>
    </row>
    <row r="129" spans="1:10" ht="12.75" customHeight="1">
      <c r="A129" s="246" t="s">
        <v>442</v>
      </c>
      <c r="B129" s="247" t="s">
        <v>877</v>
      </c>
      <c r="C129" s="436" t="s">
        <v>880</v>
      </c>
      <c r="D129" s="234" t="s">
        <v>796</v>
      </c>
      <c r="E129" s="235"/>
      <c r="F129" s="236"/>
      <c r="G129" s="39">
        <v>38998.8</v>
      </c>
      <c r="H129" s="229">
        <v>118000</v>
      </c>
      <c r="I129" s="40">
        <f>ROUND(H129*1.1445,-3)</f>
        <v>135000</v>
      </c>
      <c r="J129" s="416"/>
    </row>
    <row r="130" spans="1:10" ht="12.75" customHeight="1">
      <c r="A130" s="246" t="s">
        <v>442</v>
      </c>
      <c r="B130" s="247" t="s">
        <v>878</v>
      </c>
      <c r="C130" s="436" t="s">
        <v>881</v>
      </c>
      <c r="D130" s="234" t="s">
        <v>796</v>
      </c>
      <c r="E130" s="235"/>
      <c r="F130" s="236"/>
      <c r="G130" s="39"/>
      <c r="H130" s="229">
        <f>G130/6*12</f>
        <v>0</v>
      </c>
      <c r="I130" s="40">
        <f>ROUND(H130*1.1445,-3)</f>
        <v>0</v>
      </c>
      <c r="J130" s="416"/>
    </row>
    <row r="131" spans="1:10" ht="12.75" customHeight="1">
      <c r="A131" s="231"/>
      <c r="B131" s="232"/>
      <c r="C131" s="434"/>
      <c r="D131" s="234"/>
      <c r="E131" s="235"/>
      <c r="F131" s="236"/>
      <c r="G131" s="228"/>
      <c r="H131" s="229"/>
      <c r="I131" s="230"/>
      <c r="J131" s="416"/>
    </row>
    <row r="132" spans="1:10" ht="12.75" customHeight="1">
      <c r="A132" s="231" t="s">
        <v>441</v>
      </c>
      <c r="B132" s="232" t="s">
        <v>59</v>
      </c>
      <c r="C132" s="434" t="s">
        <v>303</v>
      </c>
      <c r="D132" s="234" t="s">
        <v>778</v>
      </c>
      <c r="E132" s="235"/>
      <c r="F132" s="236"/>
      <c r="G132" s="35"/>
      <c r="H132" s="229">
        <f>G132/6*12</f>
        <v>0</v>
      </c>
      <c r="I132" s="36">
        <f>ROUND(H132*1.1445,-3)</f>
        <v>0</v>
      </c>
      <c r="J132" s="416"/>
    </row>
    <row r="133" spans="1:10" ht="12.75" customHeight="1">
      <c r="A133" s="231" t="s">
        <v>441</v>
      </c>
      <c r="B133" s="232" t="s">
        <v>419</v>
      </c>
      <c r="C133" s="434" t="s">
        <v>58</v>
      </c>
      <c r="D133" s="234" t="s">
        <v>778</v>
      </c>
      <c r="E133" s="235"/>
      <c r="F133" s="236"/>
      <c r="G133" s="35"/>
      <c r="H133" s="229">
        <f>G133/6*12</f>
        <v>0</v>
      </c>
      <c r="I133" s="36">
        <f>ROUND(H133*1.1445,-3)</f>
        <v>0</v>
      </c>
      <c r="J133" s="416"/>
    </row>
    <row r="134" spans="1:10" ht="12.75" customHeight="1">
      <c r="A134" s="231"/>
      <c r="B134" s="232"/>
      <c r="C134" s="434"/>
      <c r="D134" s="234"/>
      <c r="E134" s="235"/>
      <c r="F134" s="236"/>
      <c r="G134" s="228"/>
      <c r="H134" s="229"/>
      <c r="I134" s="230"/>
      <c r="J134" s="416"/>
    </row>
    <row r="135" spans="1:10" ht="12.75" customHeight="1">
      <c r="A135" s="231"/>
      <c r="B135" s="232" t="s">
        <v>60</v>
      </c>
      <c r="C135" s="434" t="s">
        <v>304</v>
      </c>
      <c r="D135" s="234"/>
      <c r="E135" s="235"/>
      <c r="F135" s="236"/>
      <c r="G135" s="228">
        <f>G136</f>
        <v>0</v>
      </c>
      <c r="H135" s="229">
        <f>H136</f>
        <v>0</v>
      </c>
      <c r="I135" s="230">
        <f>I136</f>
        <v>0</v>
      </c>
      <c r="J135" s="416"/>
    </row>
    <row r="136" spans="1:10" ht="12.75" customHeight="1">
      <c r="A136" s="231" t="s">
        <v>441</v>
      </c>
      <c r="B136" s="232" t="s">
        <v>61</v>
      </c>
      <c r="C136" s="434" t="s">
        <v>305</v>
      </c>
      <c r="D136" s="234" t="s">
        <v>778</v>
      </c>
      <c r="E136" s="235"/>
      <c r="F136" s="236"/>
      <c r="G136" s="35"/>
      <c r="H136" s="229">
        <f>G136/6*12</f>
        <v>0</v>
      </c>
      <c r="I136" s="36">
        <f>ROUND(H136*1.1445,-3)</f>
        <v>0</v>
      </c>
      <c r="J136" s="416"/>
    </row>
    <row r="137" spans="1:10" ht="12.75" customHeight="1">
      <c r="A137" s="231"/>
      <c r="B137" s="232"/>
      <c r="C137" s="434"/>
      <c r="D137" s="234"/>
      <c r="E137" s="235"/>
      <c r="F137" s="236"/>
      <c r="G137" s="228"/>
      <c r="H137" s="229"/>
      <c r="I137" s="230"/>
      <c r="J137" s="416"/>
    </row>
    <row r="138" spans="1:10" ht="12.75" customHeight="1">
      <c r="A138" s="231"/>
      <c r="B138" s="232" t="s">
        <v>62</v>
      </c>
      <c r="C138" s="434" t="s">
        <v>306</v>
      </c>
      <c r="D138" s="234"/>
      <c r="E138" s="235"/>
      <c r="F138" s="236"/>
      <c r="G138" s="228">
        <f>G139</f>
        <v>0</v>
      </c>
      <c r="H138" s="229">
        <f>H139</f>
        <v>0</v>
      </c>
      <c r="I138" s="230">
        <f>I139</f>
        <v>0</v>
      </c>
      <c r="J138" s="416"/>
    </row>
    <row r="139" spans="1:10" ht="12.75" customHeight="1">
      <c r="A139" s="231"/>
      <c r="B139" s="232" t="s">
        <v>63</v>
      </c>
      <c r="C139" s="434" t="s">
        <v>264</v>
      </c>
      <c r="D139" s="234"/>
      <c r="E139" s="235"/>
      <c r="F139" s="236"/>
      <c r="G139" s="228">
        <f>SUM(G140:G142)</f>
        <v>0</v>
      </c>
      <c r="H139" s="229">
        <f>SUM(H140:H142)</f>
        <v>0</v>
      </c>
      <c r="I139" s="230">
        <f>SUM(I140:I142)</f>
        <v>0</v>
      </c>
      <c r="J139" s="416"/>
    </row>
    <row r="140" spans="1:10" ht="12.75" customHeight="1">
      <c r="A140" s="231" t="s">
        <v>441</v>
      </c>
      <c r="B140" s="232" t="s">
        <v>64</v>
      </c>
      <c r="C140" s="434" t="s">
        <v>265</v>
      </c>
      <c r="D140" s="234" t="s">
        <v>778</v>
      </c>
      <c r="E140" s="235"/>
      <c r="F140" s="236"/>
      <c r="G140" s="35"/>
      <c r="H140" s="229">
        <f>G140/6*12</f>
        <v>0</v>
      </c>
      <c r="I140" s="36">
        <f>ROUND(H140*1.1445,-3)</f>
        <v>0</v>
      </c>
      <c r="J140" s="416"/>
    </row>
    <row r="141" spans="1:10" ht="12.75" customHeight="1">
      <c r="A141" s="231" t="s">
        <v>441</v>
      </c>
      <c r="B141" s="232" t="s">
        <v>66</v>
      </c>
      <c r="C141" s="434" t="s">
        <v>65</v>
      </c>
      <c r="D141" s="234" t="s">
        <v>778</v>
      </c>
      <c r="E141" s="235"/>
      <c r="F141" s="236"/>
      <c r="G141" s="35"/>
      <c r="H141" s="229">
        <f>G141/6*12</f>
        <v>0</v>
      </c>
      <c r="I141" s="36">
        <f>ROUND(H141*1.1445,-3)</f>
        <v>0</v>
      </c>
      <c r="J141" s="416"/>
    </row>
    <row r="142" spans="1:10" ht="12.75" customHeight="1">
      <c r="A142" s="231" t="s">
        <v>441</v>
      </c>
      <c r="B142" s="232" t="s">
        <v>932</v>
      </c>
      <c r="C142" s="434" t="s">
        <v>933</v>
      </c>
      <c r="D142" s="234" t="s">
        <v>778</v>
      </c>
      <c r="E142" s="235"/>
      <c r="F142" s="236"/>
      <c r="G142" s="35"/>
      <c r="H142" s="229">
        <f>G142/6*12</f>
        <v>0</v>
      </c>
      <c r="I142" s="36">
        <f>ROUND(H142*1.1445,-3)</f>
        <v>0</v>
      </c>
      <c r="J142" s="416"/>
    </row>
    <row r="143" spans="1:10" ht="12.75" customHeight="1">
      <c r="A143" s="231"/>
      <c r="B143" s="232"/>
      <c r="C143" s="434"/>
      <c r="D143" s="234"/>
      <c r="E143" s="235"/>
      <c r="F143" s="236"/>
      <c r="G143" s="228"/>
      <c r="H143" s="229"/>
      <c r="I143" s="230"/>
      <c r="J143" s="416"/>
    </row>
    <row r="144" spans="1:10" ht="12.75" customHeight="1">
      <c r="A144" s="231"/>
      <c r="B144" s="232" t="s">
        <v>67</v>
      </c>
      <c r="C144" s="434" t="s">
        <v>307</v>
      </c>
      <c r="D144" s="234"/>
      <c r="E144" s="235"/>
      <c r="F144" s="236"/>
      <c r="G144" s="228">
        <f>SUM(G145,G151,G159,G169:G182)</f>
        <v>760</v>
      </c>
      <c r="H144" s="229">
        <f>SUM(H145,H151,H159,H169:H182)</f>
        <v>1000</v>
      </c>
      <c r="I144" s="230">
        <f>SUM(I145,I151,I159,I169:I182)</f>
        <v>1000</v>
      </c>
      <c r="J144" s="416"/>
    </row>
    <row r="145" spans="1:10" ht="12.75" customHeight="1">
      <c r="A145" s="231"/>
      <c r="B145" s="232" t="s">
        <v>68</v>
      </c>
      <c r="C145" s="434" t="s">
        <v>308</v>
      </c>
      <c r="D145" s="234"/>
      <c r="E145" s="235"/>
      <c r="F145" s="236"/>
      <c r="G145" s="228">
        <f>SUM(G146:G149)</f>
        <v>0</v>
      </c>
      <c r="H145" s="229">
        <f>SUM(H146:H149)</f>
        <v>0</v>
      </c>
      <c r="I145" s="230">
        <f>SUM(I146:I149)</f>
        <v>0</v>
      </c>
      <c r="J145" s="416"/>
    </row>
    <row r="146" spans="1:10" ht="12.75" customHeight="1">
      <c r="A146" s="244" t="s">
        <v>439</v>
      </c>
      <c r="B146" s="245" t="s">
        <v>69</v>
      </c>
      <c r="C146" s="438" t="s">
        <v>309</v>
      </c>
      <c r="D146" s="234" t="s">
        <v>779</v>
      </c>
      <c r="E146" s="235"/>
      <c r="F146" s="236"/>
      <c r="G146" s="37"/>
      <c r="H146" s="229">
        <f>G146/6*12</f>
        <v>0</v>
      </c>
      <c r="I146" s="38">
        <f>ROUND(H146*1.1445,-3)</f>
        <v>0</v>
      </c>
      <c r="J146" s="416"/>
    </row>
    <row r="147" spans="1:10" ht="12.75" customHeight="1">
      <c r="A147" s="244" t="s">
        <v>439</v>
      </c>
      <c r="B147" s="245" t="s">
        <v>405</v>
      </c>
      <c r="C147" s="438" t="s">
        <v>310</v>
      </c>
      <c r="D147" s="234" t="s">
        <v>779</v>
      </c>
      <c r="E147" s="235"/>
      <c r="F147" s="236"/>
      <c r="G147" s="37"/>
      <c r="H147" s="229">
        <f>G147/6*12</f>
        <v>0</v>
      </c>
      <c r="I147" s="38">
        <f>ROUND(H147*1.1445,-3)</f>
        <v>0</v>
      </c>
      <c r="J147" s="416"/>
    </row>
    <row r="148" spans="1:10" ht="12.75" customHeight="1">
      <c r="A148" s="244" t="s">
        <v>439</v>
      </c>
      <c r="B148" s="245" t="s">
        <v>492</v>
      </c>
      <c r="C148" s="438" t="s">
        <v>311</v>
      </c>
      <c r="D148" s="234" t="s">
        <v>779</v>
      </c>
      <c r="E148" s="235"/>
      <c r="F148" s="236"/>
      <c r="G148" s="37"/>
      <c r="H148" s="229">
        <f>G148/6*12</f>
        <v>0</v>
      </c>
      <c r="I148" s="38">
        <f>ROUND(H148*1.1445,-3)</f>
        <v>0</v>
      </c>
      <c r="J148" s="416"/>
    </row>
    <row r="149" spans="1:10" ht="12.75" customHeight="1">
      <c r="A149" s="244" t="s">
        <v>439</v>
      </c>
      <c r="B149" s="245" t="s">
        <v>71</v>
      </c>
      <c r="C149" s="438" t="s">
        <v>70</v>
      </c>
      <c r="D149" s="234" t="s">
        <v>779</v>
      </c>
      <c r="E149" s="235"/>
      <c r="F149" s="236"/>
      <c r="G149" s="37"/>
      <c r="H149" s="229">
        <f>G149/6*12</f>
        <v>0</v>
      </c>
      <c r="I149" s="38">
        <f>ROUND(H149*1.1445,-3)</f>
        <v>0</v>
      </c>
      <c r="J149" s="416"/>
    </row>
    <row r="150" spans="1:10" ht="12.75" customHeight="1">
      <c r="A150" s="231"/>
      <c r="B150" s="232"/>
      <c r="C150" s="434"/>
      <c r="D150" s="234"/>
      <c r="E150" s="235"/>
      <c r="F150" s="236"/>
      <c r="G150" s="228"/>
      <c r="H150" s="229"/>
      <c r="I150" s="230"/>
      <c r="J150" s="416"/>
    </row>
    <row r="151" spans="1:10" ht="12.75" customHeight="1">
      <c r="A151" s="231"/>
      <c r="B151" s="232" t="s">
        <v>72</v>
      </c>
      <c r="C151" s="434" t="s">
        <v>312</v>
      </c>
      <c r="D151" s="234"/>
      <c r="E151" s="235"/>
      <c r="F151" s="236"/>
      <c r="G151" s="228">
        <f>SUM(G152:G157)</f>
        <v>760</v>
      </c>
      <c r="H151" s="229">
        <f>SUM(H152:H157)</f>
        <v>1000</v>
      </c>
      <c r="I151" s="230">
        <f>SUM(I152:I157)</f>
        <v>1000</v>
      </c>
      <c r="J151" s="416"/>
    </row>
    <row r="152" spans="1:10" ht="12.75" customHeight="1">
      <c r="A152" s="231" t="s">
        <v>441</v>
      </c>
      <c r="B152" s="232" t="s">
        <v>73</v>
      </c>
      <c r="C152" s="434" t="s">
        <v>313</v>
      </c>
      <c r="D152" s="234" t="s">
        <v>778</v>
      </c>
      <c r="E152" s="235"/>
      <c r="F152" s="236"/>
      <c r="G152" s="35"/>
      <c r="H152" s="229">
        <f aca="true" t="shared" si="9" ref="H152:H157">G152/6*12</f>
        <v>0</v>
      </c>
      <c r="I152" s="36">
        <f aca="true" t="shared" si="10" ref="I152:I157">ROUND(H152*1.1445,-3)</f>
        <v>0</v>
      </c>
      <c r="J152" s="416"/>
    </row>
    <row r="153" spans="1:10" ht="12.75" customHeight="1">
      <c r="A153" s="231" t="s">
        <v>441</v>
      </c>
      <c r="B153" s="232" t="s">
        <v>75</v>
      </c>
      <c r="C153" s="434" t="s">
        <v>74</v>
      </c>
      <c r="D153" s="234" t="s">
        <v>778</v>
      </c>
      <c r="E153" s="235"/>
      <c r="F153" s="236"/>
      <c r="G153" s="35">
        <v>760</v>
      </c>
      <c r="H153" s="229">
        <v>1000</v>
      </c>
      <c r="I153" s="36">
        <f t="shared" si="10"/>
        <v>1000</v>
      </c>
      <c r="J153" s="416"/>
    </row>
    <row r="154" spans="1:10" ht="12.75" customHeight="1">
      <c r="A154" s="231" t="s">
        <v>441</v>
      </c>
      <c r="B154" s="232" t="s">
        <v>76</v>
      </c>
      <c r="C154" s="434" t="s">
        <v>266</v>
      </c>
      <c r="D154" s="234" t="s">
        <v>778</v>
      </c>
      <c r="E154" s="235"/>
      <c r="F154" s="236"/>
      <c r="G154" s="35"/>
      <c r="H154" s="229">
        <f t="shared" si="9"/>
        <v>0</v>
      </c>
      <c r="I154" s="36">
        <f t="shared" si="10"/>
        <v>0</v>
      </c>
      <c r="J154" s="416"/>
    </row>
    <row r="155" spans="1:10" ht="12.75" customHeight="1">
      <c r="A155" s="231" t="s">
        <v>441</v>
      </c>
      <c r="B155" s="232" t="s">
        <v>77</v>
      </c>
      <c r="C155" s="434" t="s">
        <v>314</v>
      </c>
      <c r="D155" s="234" t="s">
        <v>778</v>
      </c>
      <c r="E155" s="235"/>
      <c r="F155" s="236"/>
      <c r="G155" s="35"/>
      <c r="H155" s="229">
        <f t="shared" si="9"/>
        <v>0</v>
      </c>
      <c r="I155" s="36">
        <f t="shared" si="10"/>
        <v>0</v>
      </c>
      <c r="J155" s="416"/>
    </row>
    <row r="156" spans="1:10" ht="12.75" customHeight="1">
      <c r="A156" s="231" t="s">
        <v>441</v>
      </c>
      <c r="B156" s="232" t="s">
        <v>78</v>
      </c>
      <c r="C156" s="434" t="s">
        <v>315</v>
      </c>
      <c r="D156" s="234" t="s">
        <v>778</v>
      </c>
      <c r="E156" s="235"/>
      <c r="F156" s="236"/>
      <c r="G156" s="35"/>
      <c r="H156" s="229">
        <f t="shared" si="9"/>
        <v>0</v>
      </c>
      <c r="I156" s="36">
        <f t="shared" si="10"/>
        <v>0</v>
      </c>
      <c r="J156" s="416"/>
    </row>
    <row r="157" spans="1:10" ht="12.75">
      <c r="A157" s="231" t="s">
        <v>441</v>
      </c>
      <c r="B157" s="232" t="s">
        <v>80</v>
      </c>
      <c r="C157" s="434" t="s">
        <v>79</v>
      </c>
      <c r="D157" s="234" t="s">
        <v>778</v>
      </c>
      <c r="E157" s="235"/>
      <c r="F157" s="236"/>
      <c r="G157" s="35"/>
      <c r="H157" s="229">
        <f t="shared" si="9"/>
        <v>0</v>
      </c>
      <c r="I157" s="36">
        <f t="shared" si="10"/>
        <v>0</v>
      </c>
      <c r="J157" s="416"/>
    </row>
    <row r="158" spans="1:10" ht="12.75">
      <c r="A158" s="231"/>
      <c r="B158" s="232"/>
      <c r="C158" s="434"/>
      <c r="D158" s="234"/>
      <c r="E158" s="235"/>
      <c r="F158" s="236"/>
      <c r="G158" s="228"/>
      <c r="H158" s="229"/>
      <c r="I158" s="230"/>
      <c r="J158" s="416"/>
    </row>
    <row r="159" spans="1:10" ht="12.75">
      <c r="A159" s="231"/>
      <c r="B159" s="232" t="s">
        <v>81</v>
      </c>
      <c r="C159" s="434" t="s">
        <v>316</v>
      </c>
      <c r="D159" s="234"/>
      <c r="E159" s="235"/>
      <c r="F159" s="236"/>
      <c r="G159" s="228">
        <f>SUM(G160:G167)</f>
        <v>0</v>
      </c>
      <c r="H159" s="229">
        <f>SUM(H160:H167)</f>
        <v>0</v>
      </c>
      <c r="I159" s="230">
        <f>SUM(I160:I167)</f>
        <v>0</v>
      </c>
      <c r="J159" s="416"/>
    </row>
    <row r="160" spans="1:10" ht="12.75">
      <c r="A160" s="252" t="s">
        <v>440</v>
      </c>
      <c r="B160" s="253" t="s">
        <v>421</v>
      </c>
      <c r="C160" s="439" t="s">
        <v>445</v>
      </c>
      <c r="D160" s="234" t="s">
        <v>778</v>
      </c>
      <c r="E160" s="235"/>
      <c r="F160" s="236"/>
      <c r="G160" s="45"/>
      <c r="H160" s="229">
        <f aca="true" t="shared" si="11" ref="H160:H167">G160/6*12</f>
        <v>0</v>
      </c>
      <c r="I160" s="46">
        <f aca="true" t="shared" si="12" ref="I160:I167">ROUND(H160*1.1445,-3)</f>
        <v>0</v>
      </c>
      <c r="J160" s="416"/>
    </row>
    <row r="161" spans="1:10" ht="12.75">
      <c r="A161" s="252" t="s">
        <v>440</v>
      </c>
      <c r="B161" s="253" t="s">
        <v>422</v>
      </c>
      <c r="C161" s="439" t="s">
        <v>446</v>
      </c>
      <c r="D161" s="234" t="s">
        <v>778</v>
      </c>
      <c r="E161" s="235"/>
      <c r="F161" s="236"/>
      <c r="G161" s="45"/>
      <c r="H161" s="229">
        <f t="shared" si="11"/>
        <v>0</v>
      </c>
      <c r="I161" s="46">
        <f t="shared" si="12"/>
        <v>0</v>
      </c>
      <c r="J161" s="416"/>
    </row>
    <row r="162" spans="1:10" ht="12.75">
      <c r="A162" s="252" t="s">
        <v>440</v>
      </c>
      <c r="B162" s="253" t="s">
        <v>424</v>
      </c>
      <c r="C162" s="439" t="s">
        <v>447</v>
      </c>
      <c r="D162" s="234" t="s">
        <v>778</v>
      </c>
      <c r="E162" s="235"/>
      <c r="F162" s="236"/>
      <c r="G162" s="45"/>
      <c r="H162" s="229">
        <f t="shared" si="11"/>
        <v>0</v>
      </c>
      <c r="I162" s="46">
        <f t="shared" si="12"/>
        <v>0</v>
      </c>
      <c r="J162" s="416"/>
    </row>
    <row r="163" spans="1:10" ht="12.75">
      <c r="A163" s="252" t="s">
        <v>440</v>
      </c>
      <c r="B163" s="253" t="s">
        <v>448</v>
      </c>
      <c r="C163" s="439" t="s">
        <v>449</v>
      </c>
      <c r="D163" s="234" t="s">
        <v>778</v>
      </c>
      <c r="E163" s="235"/>
      <c r="F163" s="236"/>
      <c r="G163" s="45"/>
      <c r="H163" s="229">
        <f t="shared" si="11"/>
        <v>0</v>
      </c>
      <c r="I163" s="46">
        <f t="shared" si="12"/>
        <v>0</v>
      </c>
      <c r="J163" s="416"/>
    </row>
    <row r="164" spans="1:10" ht="12.75">
      <c r="A164" s="252" t="s">
        <v>440</v>
      </c>
      <c r="B164" s="253" t="s">
        <v>476</v>
      </c>
      <c r="C164" s="439" t="s">
        <v>423</v>
      </c>
      <c r="D164" s="234" t="s">
        <v>778</v>
      </c>
      <c r="E164" s="235"/>
      <c r="F164" s="236"/>
      <c r="G164" s="45"/>
      <c r="H164" s="229">
        <f t="shared" si="11"/>
        <v>0</v>
      </c>
      <c r="I164" s="46">
        <f t="shared" si="12"/>
        <v>0</v>
      </c>
      <c r="J164" s="416"/>
    </row>
    <row r="165" spans="1:10" ht="12.75">
      <c r="A165" s="252" t="s">
        <v>440</v>
      </c>
      <c r="B165" s="253" t="s">
        <v>477</v>
      </c>
      <c r="C165" s="439" t="s">
        <v>425</v>
      </c>
      <c r="D165" s="234" t="s">
        <v>778</v>
      </c>
      <c r="E165" s="235"/>
      <c r="F165" s="236"/>
      <c r="G165" s="45"/>
      <c r="H165" s="229">
        <f t="shared" si="11"/>
        <v>0</v>
      </c>
      <c r="I165" s="46">
        <f t="shared" si="12"/>
        <v>0</v>
      </c>
      <c r="J165" s="416"/>
    </row>
    <row r="166" spans="1:10" ht="12.75">
      <c r="A166" s="252" t="s">
        <v>440</v>
      </c>
      <c r="B166" s="253" t="s">
        <v>955</v>
      </c>
      <c r="C166" s="439" t="s">
        <v>956</v>
      </c>
      <c r="D166" s="234" t="s">
        <v>778</v>
      </c>
      <c r="E166" s="235"/>
      <c r="F166" s="236"/>
      <c r="G166" s="45"/>
      <c r="H166" s="229">
        <f>G166/6*12</f>
        <v>0</v>
      </c>
      <c r="I166" s="46">
        <f t="shared" si="12"/>
        <v>0</v>
      </c>
      <c r="J166" s="416"/>
    </row>
    <row r="167" spans="1:10" ht="12.75">
      <c r="A167" s="252" t="s">
        <v>440</v>
      </c>
      <c r="B167" s="253" t="s">
        <v>426</v>
      </c>
      <c r="C167" s="439" t="s">
        <v>596</v>
      </c>
      <c r="D167" s="234" t="s">
        <v>778</v>
      </c>
      <c r="E167" s="235"/>
      <c r="F167" s="236"/>
      <c r="G167" s="45"/>
      <c r="H167" s="229">
        <f t="shared" si="11"/>
        <v>0</v>
      </c>
      <c r="I167" s="46">
        <f t="shared" si="12"/>
        <v>0</v>
      </c>
      <c r="J167" s="416"/>
    </row>
    <row r="168" spans="1:10" ht="12.75">
      <c r="A168" s="231"/>
      <c r="B168" s="232"/>
      <c r="C168" s="434"/>
      <c r="D168" s="234"/>
      <c r="E168" s="235"/>
      <c r="F168" s="236"/>
      <c r="G168" s="228"/>
      <c r="H168" s="229"/>
      <c r="I168" s="230"/>
      <c r="J168" s="416"/>
    </row>
    <row r="169" spans="1:10" ht="12.75">
      <c r="A169" s="231" t="s">
        <v>441</v>
      </c>
      <c r="B169" s="232" t="s">
        <v>82</v>
      </c>
      <c r="C169" s="434" t="s">
        <v>267</v>
      </c>
      <c r="D169" s="234" t="s">
        <v>778</v>
      </c>
      <c r="E169" s="235"/>
      <c r="F169" s="236"/>
      <c r="G169" s="35"/>
      <c r="H169" s="229">
        <f aca="true" t="shared" si="13" ref="H169:H182">G169/6*12</f>
        <v>0</v>
      </c>
      <c r="I169" s="36">
        <f aca="true" t="shared" si="14" ref="I169:I182">ROUND(H169*1.1445,-3)</f>
        <v>0</v>
      </c>
      <c r="J169" s="416"/>
    </row>
    <row r="170" spans="1:10" ht="12.75">
      <c r="A170" s="231" t="s">
        <v>441</v>
      </c>
      <c r="B170" s="232" t="s">
        <v>84</v>
      </c>
      <c r="C170" s="434" t="s">
        <v>83</v>
      </c>
      <c r="D170" s="234" t="s">
        <v>778</v>
      </c>
      <c r="E170" s="235"/>
      <c r="F170" s="236"/>
      <c r="G170" s="35"/>
      <c r="H170" s="229">
        <f t="shared" si="13"/>
        <v>0</v>
      </c>
      <c r="I170" s="36">
        <f t="shared" si="14"/>
        <v>0</v>
      </c>
      <c r="J170" s="416"/>
    </row>
    <row r="171" spans="1:10" ht="12.75">
      <c r="A171" s="231" t="s">
        <v>441</v>
      </c>
      <c r="B171" s="232" t="s">
        <v>85</v>
      </c>
      <c r="C171" s="434" t="s">
        <v>268</v>
      </c>
      <c r="D171" s="234" t="s">
        <v>778</v>
      </c>
      <c r="E171" s="235"/>
      <c r="F171" s="236"/>
      <c r="G171" s="35"/>
      <c r="H171" s="229">
        <f t="shared" si="13"/>
        <v>0</v>
      </c>
      <c r="I171" s="36">
        <f t="shared" si="14"/>
        <v>0</v>
      </c>
      <c r="J171" s="416"/>
    </row>
    <row r="172" spans="1:10" ht="12.75">
      <c r="A172" s="231" t="s">
        <v>441</v>
      </c>
      <c r="B172" s="232" t="s">
        <v>450</v>
      </c>
      <c r="C172" s="434" t="s">
        <v>451</v>
      </c>
      <c r="D172" s="234" t="s">
        <v>778</v>
      </c>
      <c r="E172" s="235"/>
      <c r="F172" s="236"/>
      <c r="G172" s="35"/>
      <c r="H172" s="229">
        <f t="shared" si="13"/>
        <v>0</v>
      </c>
      <c r="I172" s="36">
        <f t="shared" si="14"/>
        <v>0</v>
      </c>
      <c r="J172" s="416"/>
    </row>
    <row r="173" spans="1:10" ht="12.75">
      <c r="A173" s="231" t="s">
        <v>441</v>
      </c>
      <c r="B173" s="232" t="s">
        <v>87</v>
      </c>
      <c r="C173" s="434" t="s">
        <v>86</v>
      </c>
      <c r="D173" s="234" t="s">
        <v>778</v>
      </c>
      <c r="E173" s="235"/>
      <c r="F173" s="236"/>
      <c r="G173" s="35"/>
      <c r="H173" s="229">
        <f t="shared" si="13"/>
        <v>0</v>
      </c>
      <c r="I173" s="36">
        <f t="shared" si="14"/>
        <v>0</v>
      </c>
      <c r="J173" s="416"/>
    </row>
    <row r="174" spans="1:10" ht="12.75">
      <c r="A174" s="231" t="s">
        <v>441</v>
      </c>
      <c r="B174" s="232" t="s">
        <v>88</v>
      </c>
      <c r="C174" s="434" t="s">
        <v>269</v>
      </c>
      <c r="D174" s="234" t="s">
        <v>778</v>
      </c>
      <c r="E174" s="235"/>
      <c r="F174" s="236"/>
      <c r="G174" s="35"/>
      <c r="H174" s="229">
        <f t="shared" si="13"/>
        <v>0</v>
      </c>
      <c r="I174" s="36">
        <f t="shared" si="14"/>
        <v>0</v>
      </c>
      <c r="J174" s="416"/>
    </row>
    <row r="175" spans="1:10" ht="12.75">
      <c r="A175" s="231" t="s">
        <v>441</v>
      </c>
      <c r="B175" s="232" t="s">
        <v>715</v>
      </c>
      <c r="C175" s="434" t="s">
        <v>716</v>
      </c>
      <c r="D175" s="234" t="s">
        <v>778</v>
      </c>
      <c r="E175" s="235"/>
      <c r="F175" s="236"/>
      <c r="G175" s="35"/>
      <c r="H175" s="229">
        <f t="shared" si="13"/>
        <v>0</v>
      </c>
      <c r="I175" s="36">
        <f t="shared" si="14"/>
        <v>0</v>
      </c>
      <c r="J175" s="416"/>
    </row>
    <row r="176" spans="1:10" ht="12.75">
      <c r="A176" s="231" t="s">
        <v>441</v>
      </c>
      <c r="B176" s="232" t="s">
        <v>89</v>
      </c>
      <c r="C176" s="434" t="s">
        <v>317</v>
      </c>
      <c r="D176" s="234" t="s">
        <v>778</v>
      </c>
      <c r="E176" s="235"/>
      <c r="F176" s="236"/>
      <c r="G176" s="35"/>
      <c r="H176" s="229">
        <f t="shared" si="13"/>
        <v>0</v>
      </c>
      <c r="I176" s="36">
        <f t="shared" si="14"/>
        <v>0</v>
      </c>
      <c r="J176" s="416"/>
    </row>
    <row r="177" spans="1:10" ht="12.75">
      <c r="A177" s="231" t="s">
        <v>441</v>
      </c>
      <c r="B177" s="232" t="s">
        <v>90</v>
      </c>
      <c r="C177" s="434" t="s">
        <v>270</v>
      </c>
      <c r="D177" s="234" t="s">
        <v>778</v>
      </c>
      <c r="E177" s="235"/>
      <c r="F177" s="236"/>
      <c r="G177" s="35"/>
      <c r="H177" s="229">
        <f t="shared" si="13"/>
        <v>0</v>
      </c>
      <c r="I177" s="36">
        <f t="shared" si="14"/>
        <v>0</v>
      </c>
      <c r="J177" s="416"/>
    </row>
    <row r="178" spans="1:10" ht="12.75">
      <c r="A178" s="231" t="s">
        <v>441</v>
      </c>
      <c r="B178" s="232" t="s">
        <v>92</v>
      </c>
      <c r="C178" s="434" t="s">
        <v>91</v>
      </c>
      <c r="D178" s="234" t="s">
        <v>778</v>
      </c>
      <c r="E178" s="235"/>
      <c r="F178" s="236"/>
      <c r="G178" s="35"/>
      <c r="H178" s="229">
        <f t="shared" si="13"/>
        <v>0</v>
      </c>
      <c r="I178" s="36">
        <f t="shared" si="14"/>
        <v>0</v>
      </c>
      <c r="J178" s="416"/>
    </row>
    <row r="179" spans="1:10" ht="12.75">
      <c r="A179" s="231" t="s">
        <v>441</v>
      </c>
      <c r="B179" s="232" t="s">
        <v>93</v>
      </c>
      <c r="C179" s="434" t="s">
        <v>271</v>
      </c>
      <c r="D179" s="234" t="s">
        <v>778</v>
      </c>
      <c r="E179" s="235"/>
      <c r="F179" s="236"/>
      <c r="G179" s="35"/>
      <c r="H179" s="229">
        <f t="shared" si="13"/>
        <v>0</v>
      </c>
      <c r="I179" s="36">
        <f t="shared" si="14"/>
        <v>0</v>
      </c>
      <c r="J179" s="416"/>
    </row>
    <row r="180" spans="1:10" ht="12.75">
      <c r="A180" s="231" t="s">
        <v>441</v>
      </c>
      <c r="B180" s="232" t="s">
        <v>94</v>
      </c>
      <c r="C180" s="434" t="s">
        <v>318</v>
      </c>
      <c r="D180" s="234" t="s">
        <v>778</v>
      </c>
      <c r="E180" s="235"/>
      <c r="F180" s="236"/>
      <c r="G180" s="35"/>
      <c r="H180" s="229">
        <f t="shared" si="13"/>
        <v>0</v>
      </c>
      <c r="I180" s="36">
        <f t="shared" si="14"/>
        <v>0</v>
      </c>
      <c r="J180" s="416"/>
    </row>
    <row r="181" spans="1:10" ht="12.75">
      <c r="A181" s="231" t="s">
        <v>441</v>
      </c>
      <c r="B181" s="232" t="s">
        <v>95</v>
      </c>
      <c r="C181" s="434" t="s">
        <v>319</v>
      </c>
      <c r="D181" s="234" t="s">
        <v>778</v>
      </c>
      <c r="E181" s="235"/>
      <c r="F181" s="236"/>
      <c r="G181" s="35"/>
      <c r="H181" s="229">
        <f t="shared" si="13"/>
        <v>0</v>
      </c>
      <c r="I181" s="36">
        <f t="shared" si="14"/>
        <v>0</v>
      </c>
      <c r="J181" s="416"/>
    </row>
    <row r="182" spans="1:10" ht="12.75">
      <c r="A182" s="231" t="s">
        <v>441</v>
      </c>
      <c r="B182" s="232" t="s">
        <v>97</v>
      </c>
      <c r="C182" s="434" t="s">
        <v>96</v>
      </c>
      <c r="D182" s="234" t="s">
        <v>778</v>
      </c>
      <c r="E182" s="235"/>
      <c r="F182" s="236"/>
      <c r="G182" s="35"/>
      <c r="H182" s="229">
        <f t="shared" si="13"/>
        <v>0</v>
      </c>
      <c r="I182" s="36">
        <f t="shared" si="14"/>
        <v>0</v>
      </c>
      <c r="J182" s="416"/>
    </row>
    <row r="183" spans="1:10" ht="12.75">
      <c r="A183" s="231"/>
      <c r="B183" s="232"/>
      <c r="C183" s="434"/>
      <c r="D183" s="234"/>
      <c r="E183" s="235"/>
      <c r="F183" s="236"/>
      <c r="G183" s="228"/>
      <c r="H183" s="229"/>
      <c r="I183" s="230"/>
      <c r="J183" s="416"/>
    </row>
    <row r="184" spans="1:10" ht="12.75">
      <c r="A184" s="231"/>
      <c r="B184" s="232" t="s">
        <v>99</v>
      </c>
      <c r="C184" s="434" t="s">
        <v>98</v>
      </c>
      <c r="D184" s="234"/>
      <c r="E184" s="235"/>
      <c r="F184" s="236"/>
      <c r="G184" s="228">
        <f>G185+G307+G308+G310</f>
        <v>15478467.1</v>
      </c>
      <c r="H184" s="229">
        <f>H185+H307+H308+H310</f>
        <v>30992718.788</v>
      </c>
      <c r="I184" s="230">
        <f>I185+I307+I308+I310</f>
        <v>37005000</v>
      </c>
      <c r="J184" s="416"/>
    </row>
    <row r="185" spans="1:10" ht="12.75">
      <c r="A185" s="231"/>
      <c r="B185" s="232" t="s">
        <v>100</v>
      </c>
      <c r="C185" s="434" t="s">
        <v>272</v>
      </c>
      <c r="D185" s="234"/>
      <c r="E185" s="235"/>
      <c r="F185" s="236"/>
      <c r="G185" s="228">
        <f>G186+G282+G303</f>
        <v>15326181.2</v>
      </c>
      <c r="H185" s="229">
        <f>H186+H282+H303</f>
        <v>30535718.788</v>
      </c>
      <c r="I185" s="230">
        <f>I186+I282+I303</f>
        <v>36482000</v>
      </c>
      <c r="J185" s="416"/>
    </row>
    <row r="186" spans="1:10" ht="12.75">
      <c r="A186" s="231"/>
      <c r="B186" s="232" t="s">
        <v>102</v>
      </c>
      <c r="C186" s="434" t="s">
        <v>101</v>
      </c>
      <c r="D186" s="234"/>
      <c r="E186" s="235"/>
      <c r="F186" s="236"/>
      <c r="G186" s="228">
        <f>G187+G193+G200+G252+G264+(G278+G279)+G280</f>
        <v>8013539.7</v>
      </c>
      <c r="H186" s="229">
        <f>H187+H193+H200+H252+H264+(H278+H279)+H280</f>
        <v>16132853.248</v>
      </c>
      <c r="I186" s="230">
        <f>I187+I193+I200+I252+I264+(I278+I279)+I280</f>
        <v>19340200</v>
      </c>
      <c r="J186" s="416"/>
    </row>
    <row r="187" spans="1:10" ht="12.75">
      <c r="A187" s="231"/>
      <c r="B187" s="232" t="s">
        <v>103</v>
      </c>
      <c r="C187" s="434" t="s">
        <v>320</v>
      </c>
      <c r="D187" s="234"/>
      <c r="E187" s="235"/>
      <c r="F187" s="236"/>
      <c r="G187" s="228">
        <f>G188+G190+G189+G191</f>
        <v>4874777.51</v>
      </c>
      <c r="H187" s="229">
        <f>H188+H190+H189+H191</f>
        <v>9752653.248</v>
      </c>
      <c r="I187" s="230">
        <f>I188+I190+I189+I191</f>
        <v>11161600</v>
      </c>
      <c r="J187" s="416"/>
    </row>
    <row r="188" spans="1:10" ht="12.75">
      <c r="A188" s="231" t="s">
        <v>441</v>
      </c>
      <c r="B188" s="232" t="s">
        <v>493</v>
      </c>
      <c r="C188" s="434" t="s">
        <v>321</v>
      </c>
      <c r="D188" s="234" t="s">
        <v>778</v>
      </c>
      <c r="E188" s="235" t="s">
        <v>782</v>
      </c>
      <c r="F188" s="236" t="s">
        <v>783</v>
      </c>
      <c r="G188" s="35">
        <v>6092408.28</v>
      </c>
      <c r="H188" s="229">
        <f>G188/6*12</f>
        <v>12184816.56</v>
      </c>
      <c r="I188" s="36">
        <f>ROUND(H188*1.1445,-3)-1000</f>
        <v>13945000</v>
      </c>
      <c r="J188" s="416"/>
    </row>
    <row r="189" spans="1:10" ht="12.75">
      <c r="A189" s="231" t="s">
        <v>441</v>
      </c>
      <c r="B189" s="232" t="s">
        <v>494</v>
      </c>
      <c r="C189" s="434" t="s">
        <v>322</v>
      </c>
      <c r="D189" s="234" t="s">
        <v>778</v>
      </c>
      <c r="E189" s="235"/>
      <c r="F189" s="236"/>
      <c r="G189" s="192">
        <v>-1218481.52</v>
      </c>
      <c r="H189" s="229">
        <f>-H188*0.2</f>
        <v>-2436963.3120000004</v>
      </c>
      <c r="I189" s="370">
        <f>-I188*0.2</f>
        <v>-2789000</v>
      </c>
      <c r="J189" s="416"/>
    </row>
    <row r="190" spans="1:10" ht="12.75">
      <c r="A190" s="231" t="s">
        <v>441</v>
      </c>
      <c r="B190" s="232" t="s">
        <v>495</v>
      </c>
      <c r="C190" s="434" t="s">
        <v>323</v>
      </c>
      <c r="D190" s="234" t="s">
        <v>778</v>
      </c>
      <c r="E190" s="235" t="s">
        <v>782</v>
      </c>
      <c r="F190" s="236" t="s">
        <v>783</v>
      </c>
      <c r="G190" s="35">
        <v>1063.41</v>
      </c>
      <c r="H190" s="229">
        <v>6000</v>
      </c>
      <c r="I190" s="36">
        <f>ROUND(H190*1.1445,-3)</f>
        <v>7000</v>
      </c>
      <c r="J190" s="416"/>
    </row>
    <row r="191" spans="1:10" ht="12.75">
      <c r="A191" s="231" t="s">
        <v>441</v>
      </c>
      <c r="B191" s="232" t="s">
        <v>496</v>
      </c>
      <c r="C191" s="434" t="s">
        <v>486</v>
      </c>
      <c r="D191" s="234" t="s">
        <v>778</v>
      </c>
      <c r="E191" s="235"/>
      <c r="F191" s="236"/>
      <c r="G191" s="192">
        <v>-212.66</v>
      </c>
      <c r="H191" s="229">
        <v>-1200</v>
      </c>
      <c r="I191" s="370">
        <f>-I190*0.2</f>
        <v>-1400</v>
      </c>
      <c r="J191" s="416"/>
    </row>
    <row r="192" spans="1:10" ht="12.75">
      <c r="A192" s="231"/>
      <c r="B192" s="232"/>
      <c r="C192" s="434"/>
      <c r="D192" s="234"/>
      <c r="E192" s="235"/>
      <c r="F192" s="236"/>
      <c r="G192" s="228"/>
      <c r="H192" s="229"/>
      <c r="I192" s="230"/>
      <c r="J192" s="416"/>
    </row>
    <row r="193" spans="1:10" ht="12.75">
      <c r="A193" s="231"/>
      <c r="B193" s="232" t="s">
        <v>104</v>
      </c>
      <c r="C193" s="434" t="s">
        <v>324</v>
      </c>
      <c r="D193" s="234"/>
      <c r="E193" s="235"/>
      <c r="F193" s="236"/>
      <c r="G193" s="228">
        <f>SUM(G194:G198)</f>
        <v>71561.87</v>
      </c>
      <c r="H193" s="229">
        <f>SUM(H194:H198)</f>
        <v>136000</v>
      </c>
      <c r="I193" s="230">
        <f>SUM(I194:I198)</f>
        <v>156000</v>
      </c>
      <c r="J193" s="416"/>
    </row>
    <row r="194" spans="1:10" ht="12.75">
      <c r="A194" s="231" t="s">
        <v>441</v>
      </c>
      <c r="B194" s="232" t="s">
        <v>934</v>
      </c>
      <c r="C194" s="434" t="s">
        <v>935</v>
      </c>
      <c r="D194" s="234" t="s">
        <v>778</v>
      </c>
      <c r="E194" s="235"/>
      <c r="F194" s="236"/>
      <c r="G194" s="35"/>
      <c r="H194" s="229">
        <f>G194/6*12</f>
        <v>0</v>
      </c>
      <c r="I194" s="36">
        <f>ROUND(H194*1.1445,-3)</f>
        <v>0</v>
      </c>
      <c r="J194" s="416"/>
    </row>
    <row r="195" spans="1:10" ht="12.75">
      <c r="A195" s="231" t="s">
        <v>441</v>
      </c>
      <c r="B195" s="232" t="s">
        <v>726</v>
      </c>
      <c r="C195" s="434" t="s">
        <v>727</v>
      </c>
      <c r="D195" s="234" t="s">
        <v>778</v>
      </c>
      <c r="E195" s="235"/>
      <c r="F195" s="236"/>
      <c r="G195" s="35"/>
      <c r="H195" s="229">
        <f>G195/6*12</f>
        <v>0</v>
      </c>
      <c r="I195" s="36">
        <f>ROUND(H195*1.1445,-3)</f>
        <v>0</v>
      </c>
      <c r="J195" s="416"/>
    </row>
    <row r="196" spans="1:10" ht="12.75">
      <c r="A196" s="231" t="s">
        <v>441</v>
      </c>
      <c r="B196" s="232" t="s">
        <v>728</v>
      </c>
      <c r="C196" s="434" t="s">
        <v>729</v>
      </c>
      <c r="D196" s="234" t="s">
        <v>778</v>
      </c>
      <c r="E196" s="235"/>
      <c r="F196" s="236"/>
      <c r="G196" s="35"/>
      <c r="H196" s="229">
        <f>G196/6*12</f>
        <v>0</v>
      </c>
      <c r="I196" s="36">
        <f>ROUND(H196*1.1445,-3)</f>
        <v>0</v>
      </c>
      <c r="J196" s="416"/>
    </row>
    <row r="197" spans="1:10" ht="12.75">
      <c r="A197" s="231" t="s">
        <v>441</v>
      </c>
      <c r="B197" s="232" t="s">
        <v>105</v>
      </c>
      <c r="C197" s="434" t="s">
        <v>326</v>
      </c>
      <c r="D197" s="234" t="s">
        <v>778</v>
      </c>
      <c r="E197" s="235"/>
      <c r="F197" s="236"/>
      <c r="G197" s="35">
        <v>71561.87</v>
      </c>
      <c r="H197" s="229">
        <v>136000</v>
      </c>
      <c r="I197" s="36">
        <f>ROUND(H197*1.1445,-3)</f>
        <v>156000</v>
      </c>
      <c r="J197" s="416"/>
    </row>
    <row r="198" spans="1:10" ht="12.75">
      <c r="A198" s="231" t="s">
        <v>441</v>
      </c>
      <c r="B198" s="232" t="s">
        <v>106</v>
      </c>
      <c r="C198" s="434" t="s">
        <v>327</v>
      </c>
      <c r="D198" s="234" t="s">
        <v>778</v>
      </c>
      <c r="E198" s="235"/>
      <c r="F198" s="236"/>
      <c r="G198" s="35"/>
      <c r="H198" s="229">
        <f>G198/6*12</f>
        <v>0</v>
      </c>
      <c r="I198" s="36">
        <f>ROUND(H198*1.1445,-3)</f>
        <v>0</v>
      </c>
      <c r="J198" s="416"/>
    </row>
    <row r="199" spans="1:10" ht="12.75">
      <c r="A199" s="231"/>
      <c r="B199" s="232"/>
      <c r="C199" s="434"/>
      <c r="D199" s="234"/>
      <c r="E199" s="235"/>
      <c r="F199" s="236"/>
      <c r="G199" s="228"/>
      <c r="H199" s="229"/>
      <c r="I199" s="230"/>
      <c r="J199" s="416"/>
    </row>
    <row r="200" spans="1:10" ht="12.75">
      <c r="A200" s="231"/>
      <c r="B200" s="232" t="s">
        <v>107</v>
      </c>
      <c r="C200" s="434" t="s">
        <v>328</v>
      </c>
      <c r="D200" s="234"/>
      <c r="E200" s="235"/>
      <c r="F200" s="236"/>
      <c r="G200" s="228">
        <f>SUM(G201,G215,G231,G236,G240,G245,G248)</f>
        <v>1859359.1199999999</v>
      </c>
      <c r="H200" s="229">
        <f>SUM(H201,H215,H231,H236,H240,H245,H248)</f>
        <v>3723000</v>
      </c>
      <c r="I200" s="230">
        <f>SUM(I201,I215,I231,I236,I240,I245,I248)</f>
        <v>4162000</v>
      </c>
      <c r="J200" s="416"/>
    </row>
    <row r="201" spans="1:10" ht="12.75">
      <c r="A201" s="231"/>
      <c r="B201" s="232" t="s">
        <v>509</v>
      </c>
      <c r="C201" s="434" t="s">
        <v>226</v>
      </c>
      <c r="D201" s="234"/>
      <c r="E201" s="235"/>
      <c r="F201" s="236"/>
      <c r="G201" s="228">
        <f>SUM(G202:G213)</f>
        <v>981726</v>
      </c>
      <c r="H201" s="229">
        <f>SUM(H202:H213)</f>
        <v>1864000</v>
      </c>
      <c r="I201" s="230">
        <f>SUM(I202:I213)</f>
        <v>2191000</v>
      </c>
      <c r="J201" s="416"/>
    </row>
    <row r="202" spans="1:10" ht="12.75">
      <c r="A202" s="244" t="s">
        <v>439</v>
      </c>
      <c r="B202" s="245" t="s">
        <v>497</v>
      </c>
      <c r="C202" s="438" t="s">
        <v>325</v>
      </c>
      <c r="D202" s="234" t="s">
        <v>779</v>
      </c>
      <c r="E202" s="235"/>
      <c r="F202" s="236"/>
      <c r="G202" s="37">
        <v>164448</v>
      </c>
      <c r="H202" s="229">
        <v>362000</v>
      </c>
      <c r="I202" s="38">
        <v>524000</v>
      </c>
      <c r="J202" s="416"/>
    </row>
    <row r="203" spans="1:10" ht="12.75">
      <c r="A203" s="244" t="s">
        <v>439</v>
      </c>
      <c r="B203" s="245" t="s">
        <v>498</v>
      </c>
      <c r="C203" s="438" t="s">
        <v>695</v>
      </c>
      <c r="D203" s="234" t="s">
        <v>779</v>
      </c>
      <c r="E203" s="235"/>
      <c r="F203" s="236"/>
      <c r="G203" s="37">
        <v>422400</v>
      </c>
      <c r="H203" s="229">
        <v>860000</v>
      </c>
      <c r="I203" s="38">
        <v>930000</v>
      </c>
      <c r="J203" s="416"/>
    </row>
    <row r="204" spans="1:10" ht="12.75">
      <c r="A204" s="244" t="s">
        <v>439</v>
      </c>
      <c r="B204" s="245" t="s">
        <v>499</v>
      </c>
      <c r="C204" s="438" t="s">
        <v>696</v>
      </c>
      <c r="D204" s="234" t="s">
        <v>779</v>
      </c>
      <c r="E204" s="235"/>
      <c r="F204" s="236"/>
      <c r="G204" s="37">
        <v>241878</v>
      </c>
      <c r="H204" s="229">
        <v>374000</v>
      </c>
      <c r="I204" s="38">
        <v>446000</v>
      </c>
      <c r="J204" s="416"/>
    </row>
    <row r="205" spans="1:10" ht="12.75">
      <c r="A205" s="244" t="s">
        <v>439</v>
      </c>
      <c r="B205" s="245" t="s">
        <v>500</v>
      </c>
      <c r="C205" s="438" t="s">
        <v>697</v>
      </c>
      <c r="D205" s="234" t="s">
        <v>779</v>
      </c>
      <c r="E205" s="235"/>
      <c r="F205" s="236"/>
      <c r="G205" s="37">
        <v>153000</v>
      </c>
      <c r="H205" s="229">
        <v>268000</v>
      </c>
      <c r="I205" s="38">
        <v>291000</v>
      </c>
      <c r="J205" s="416"/>
    </row>
    <row r="206" spans="1:10" ht="12.75">
      <c r="A206" s="244" t="s">
        <v>439</v>
      </c>
      <c r="B206" s="245" t="s">
        <v>501</v>
      </c>
      <c r="C206" s="438" t="s">
        <v>502</v>
      </c>
      <c r="D206" s="234" t="s">
        <v>779</v>
      </c>
      <c r="E206" s="235"/>
      <c r="F206" s="236"/>
      <c r="G206" s="37"/>
      <c r="H206" s="229">
        <f aca="true" t="shared" si="15" ref="H206:H213">G206/6*12</f>
        <v>0</v>
      </c>
      <c r="I206" s="38">
        <f aca="true" t="shared" si="16" ref="I206:I213">ROUND(H206*1.1445,-3)</f>
        <v>0</v>
      </c>
      <c r="J206" s="416"/>
    </row>
    <row r="207" spans="1:10" ht="12.75">
      <c r="A207" s="244" t="s">
        <v>439</v>
      </c>
      <c r="B207" s="245" t="s">
        <v>503</v>
      </c>
      <c r="C207" s="438" t="s">
        <v>504</v>
      </c>
      <c r="D207" s="234" t="s">
        <v>779</v>
      </c>
      <c r="E207" s="235"/>
      <c r="F207" s="236"/>
      <c r="G207" s="37"/>
      <c r="H207" s="229">
        <f t="shared" si="15"/>
        <v>0</v>
      </c>
      <c r="I207" s="38">
        <f t="shared" si="16"/>
        <v>0</v>
      </c>
      <c r="J207" s="416"/>
    </row>
    <row r="208" spans="1:10" ht="12.75">
      <c r="A208" s="244" t="s">
        <v>439</v>
      </c>
      <c r="B208" s="245" t="s">
        <v>505</v>
      </c>
      <c r="C208" s="438" t="s">
        <v>506</v>
      </c>
      <c r="D208" s="234" t="s">
        <v>779</v>
      </c>
      <c r="E208" s="235"/>
      <c r="F208" s="236"/>
      <c r="G208" s="37"/>
      <c r="H208" s="229">
        <f t="shared" si="15"/>
        <v>0</v>
      </c>
      <c r="I208" s="38">
        <f t="shared" si="16"/>
        <v>0</v>
      </c>
      <c r="J208" s="416"/>
    </row>
    <row r="209" spans="1:10" ht="12.75">
      <c r="A209" s="244" t="s">
        <v>439</v>
      </c>
      <c r="B209" s="245" t="s">
        <v>703</v>
      </c>
      <c r="C209" s="438" t="s">
        <v>704</v>
      </c>
      <c r="D209" s="234" t="s">
        <v>779</v>
      </c>
      <c r="E209" s="235"/>
      <c r="F209" s="236"/>
      <c r="G209" s="37"/>
      <c r="H209" s="229">
        <f>G209/6*12</f>
        <v>0</v>
      </c>
      <c r="I209" s="38">
        <f t="shared" si="16"/>
        <v>0</v>
      </c>
      <c r="J209" s="416"/>
    </row>
    <row r="210" spans="1:10" ht="12.75">
      <c r="A210" s="244" t="s">
        <v>439</v>
      </c>
      <c r="B210" s="245" t="s">
        <v>705</v>
      </c>
      <c r="C210" s="438" t="s">
        <v>706</v>
      </c>
      <c r="D210" s="234" t="s">
        <v>779</v>
      </c>
      <c r="E210" s="235"/>
      <c r="F210" s="236"/>
      <c r="G210" s="37"/>
      <c r="H210" s="229">
        <f>G210/6*12</f>
        <v>0</v>
      </c>
      <c r="I210" s="38">
        <f t="shared" si="16"/>
        <v>0</v>
      </c>
      <c r="J210" s="416"/>
    </row>
    <row r="211" spans="1:10" ht="12.75">
      <c r="A211" s="244" t="s">
        <v>439</v>
      </c>
      <c r="B211" s="245" t="s">
        <v>740</v>
      </c>
      <c r="C211" s="438" t="s">
        <v>741</v>
      </c>
      <c r="D211" s="234" t="s">
        <v>779</v>
      </c>
      <c r="E211" s="235"/>
      <c r="F211" s="236"/>
      <c r="G211" s="37"/>
      <c r="H211" s="229">
        <f>G211/6*12</f>
        <v>0</v>
      </c>
      <c r="I211" s="38">
        <f t="shared" si="16"/>
        <v>0</v>
      </c>
      <c r="J211" s="416"/>
    </row>
    <row r="212" spans="1:10" ht="12.75">
      <c r="A212" s="244" t="s">
        <v>439</v>
      </c>
      <c r="B212" s="245" t="s">
        <v>745</v>
      </c>
      <c r="C212" s="438" t="s">
        <v>746</v>
      </c>
      <c r="D212" s="234" t="s">
        <v>779</v>
      </c>
      <c r="E212" s="235"/>
      <c r="F212" s="236"/>
      <c r="G212" s="37"/>
      <c r="H212" s="229">
        <f>G212/6*12</f>
        <v>0</v>
      </c>
      <c r="I212" s="38">
        <f t="shared" si="16"/>
        <v>0</v>
      </c>
      <c r="J212" s="416"/>
    </row>
    <row r="213" spans="1:10" ht="12.75">
      <c r="A213" s="244" t="s">
        <v>439</v>
      </c>
      <c r="B213" s="245" t="s">
        <v>507</v>
      </c>
      <c r="C213" s="438" t="s">
        <v>508</v>
      </c>
      <c r="D213" s="234" t="s">
        <v>779</v>
      </c>
      <c r="E213" s="235"/>
      <c r="F213" s="236"/>
      <c r="G213" s="37"/>
      <c r="H213" s="229">
        <f t="shared" si="15"/>
        <v>0</v>
      </c>
      <c r="I213" s="38">
        <f t="shared" si="16"/>
        <v>0</v>
      </c>
      <c r="J213" s="416"/>
    </row>
    <row r="214" spans="1:10" ht="12.75">
      <c r="A214" s="231"/>
      <c r="B214" s="232"/>
      <c r="C214" s="434"/>
      <c r="D214" s="234"/>
      <c r="E214" s="235"/>
      <c r="F214" s="236"/>
      <c r="G214" s="228"/>
      <c r="H214" s="229"/>
      <c r="I214" s="230"/>
      <c r="J214" s="416"/>
    </row>
    <row r="215" spans="1:10" ht="12.75">
      <c r="A215" s="231"/>
      <c r="B215" s="232" t="s">
        <v>108</v>
      </c>
      <c r="C215" s="434" t="s">
        <v>510</v>
      </c>
      <c r="D215" s="234"/>
      <c r="E215" s="235"/>
      <c r="F215" s="236"/>
      <c r="G215" s="228">
        <f>SUM(G216:G229)</f>
        <v>779964.49</v>
      </c>
      <c r="H215" s="229">
        <f>SUM(H216:H229)</f>
        <v>1626000</v>
      </c>
      <c r="I215" s="230">
        <f>SUM(I216:I229)</f>
        <v>1692000</v>
      </c>
      <c r="J215" s="416"/>
    </row>
    <row r="216" spans="1:10" ht="12.75">
      <c r="A216" s="244" t="s">
        <v>439</v>
      </c>
      <c r="B216" s="245" t="s">
        <v>511</v>
      </c>
      <c r="C216" s="438" t="s">
        <v>512</v>
      </c>
      <c r="D216" s="234" t="s">
        <v>779</v>
      </c>
      <c r="E216" s="235"/>
      <c r="F216" s="236"/>
      <c r="G216" s="37">
        <v>779964.49</v>
      </c>
      <c r="H216" s="229">
        <v>1626000</v>
      </c>
      <c r="I216" s="38">
        <v>1692000</v>
      </c>
      <c r="J216" s="416"/>
    </row>
    <row r="217" spans="1:10" ht="12.75">
      <c r="A217" s="244" t="s">
        <v>439</v>
      </c>
      <c r="B217" s="245" t="s">
        <v>513</v>
      </c>
      <c r="C217" s="438" t="s">
        <v>514</v>
      </c>
      <c r="D217" s="234" t="s">
        <v>779</v>
      </c>
      <c r="E217" s="235"/>
      <c r="F217" s="236"/>
      <c r="G217" s="37"/>
      <c r="H217" s="229">
        <f aca="true" t="shared" si="17" ref="H217:H229">G217/6*12</f>
        <v>0</v>
      </c>
      <c r="I217" s="38">
        <f aca="true" t="shared" si="18" ref="I217:I229">ROUND(H217*1.1445,-3)</f>
        <v>0</v>
      </c>
      <c r="J217" s="416"/>
    </row>
    <row r="218" spans="1:10" ht="12.75">
      <c r="A218" s="244" t="s">
        <v>439</v>
      </c>
      <c r="B218" s="245" t="s">
        <v>515</v>
      </c>
      <c r="C218" s="438" t="s">
        <v>516</v>
      </c>
      <c r="D218" s="234" t="s">
        <v>779</v>
      </c>
      <c r="E218" s="235"/>
      <c r="F218" s="236"/>
      <c r="G218" s="37"/>
      <c r="H218" s="229">
        <f t="shared" si="17"/>
        <v>0</v>
      </c>
      <c r="I218" s="38">
        <f t="shared" si="18"/>
        <v>0</v>
      </c>
      <c r="J218" s="416"/>
    </row>
    <row r="219" spans="1:10" ht="12.75">
      <c r="A219" s="244" t="s">
        <v>439</v>
      </c>
      <c r="B219" s="245" t="s">
        <v>517</v>
      </c>
      <c r="C219" s="438" t="s">
        <v>518</v>
      </c>
      <c r="D219" s="234" t="s">
        <v>779</v>
      </c>
      <c r="E219" s="235"/>
      <c r="F219" s="236"/>
      <c r="G219" s="37"/>
      <c r="H219" s="229">
        <f t="shared" si="17"/>
        <v>0</v>
      </c>
      <c r="I219" s="38">
        <f t="shared" si="18"/>
        <v>0</v>
      </c>
      <c r="J219" s="416"/>
    </row>
    <row r="220" spans="1:10" ht="12.75">
      <c r="A220" s="244" t="s">
        <v>439</v>
      </c>
      <c r="B220" s="245" t="s">
        <v>519</v>
      </c>
      <c r="C220" s="438" t="s">
        <v>520</v>
      </c>
      <c r="D220" s="234" t="s">
        <v>779</v>
      </c>
      <c r="E220" s="235"/>
      <c r="F220" s="236"/>
      <c r="G220" s="37"/>
      <c r="H220" s="229">
        <f t="shared" si="17"/>
        <v>0</v>
      </c>
      <c r="I220" s="38">
        <f t="shared" si="18"/>
        <v>0</v>
      </c>
      <c r="J220" s="416"/>
    </row>
    <row r="221" spans="1:10" ht="12.75">
      <c r="A221" s="244" t="s">
        <v>439</v>
      </c>
      <c r="B221" s="245" t="s">
        <v>521</v>
      </c>
      <c r="C221" s="438" t="s">
        <v>522</v>
      </c>
      <c r="D221" s="234" t="s">
        <v>779</v>
      </c>
      <c r="E221" s="235"/>
      <c r="F221" s="236"/>
      <c r="G221" s="37"/>
      <c r="H221" s="229">
        <f t="shared" si="17"/>
        <v>0</v>
      </c>
      <c r="I221" s="38">
        <f t="shared" si="18"/>
        <v>0</v>
      </c>
      <c r="J221" s="416"/>
    </row>
    <row r="222" spans="1:10" ht="12.75">
      <c r="A222" s="244" t="s">
        <v>439</v>
      </c>
      <c r="B222" s="245" t="s">
        <v>523</v>
      </c>
      <c r="C222" s="438" t="s">
        <v>524</v>
      </c>
      <c r="D222" s="234" t="s">
        <v>779</v>
      </c>
      <c r="E222" s="235"/>
      <c r="F222" s="236"/>
      <c r="G222" s="37"/>
      <c r="H222" s="229">
        <f t="shared" si="17"/>
        <v>0</v>
      </c>
      <c r="I222" s="38">
        <f t="shared" si="18"/>
        <v>0</v>
      </c>
      <c r="J222" s="416"/>
    </row>
    <row r="223" spans="1:10" ht="12.75">
      <c r="A223" s="244" t="s">
        <v>439</v>
      </c>
      <c r="B223" s="245" t="s">
        <v>525</v>
      </c>
      <c r="C223" s="438" t="s">
        <v>526</v>
      </c>
      <c r="D223" s="234" t="s">
        <v>779</v>
      </c>
      <c r="E223" s="235"/>
      <c r="F223" s="236"/>
      <c r="G223" s="37"/>
      <c r="H223" s="229">
        <f t="shared" si="17"/>
        <v>0</v>
      </c>
      <c r="I223" s="38">
        <f t="shared" si="18"/>
        <v>0</v>
      </c>
      <c r="J223" s="416"/>
    </row>
    <row r="224" spans="1:10" ht="12.75">
      <c r="A224" s="244" t="s">
        <v>439</v>
      </c>
      <c r="B224" s="245" t="s">
        <v>527</v>
      </c>
      <c r="C224" s="438" t="s">
        <v>528</v>
      </c>
      <c r="D224" s="234" t="s">
        <v>779</v>
      </c>
      <c r="E224" s="235"/>
      <c r="F224" s="236"/>
      <c r="G224" s="37"/>
      <c r="H224" s="229">
        <f t="shared" si="17"/>
        <v>0</v>
      </c>
      <c r="I224" s="38">
        <f t="shared" si="18"/>
        <v>0</v>
      </c>
      <c r="J224" s="416"/>
    </row>
    <row r="225" spans="1:10" ht="12.75">
      <c r="A225" s="244" t="s">
        <v>439</v>
      </c>
      <c r="B225" s="245" t="s">
        <v>529</v>
      </c>
      <c r="C225" s="438" t="s">
        <v>530</v>
      </c>
      <c r="D225" s="234" t="s">
        <v>779</v>
      </c>
      <c r="E225" s="235"/>
      <c r="F225" s="236"/>
      <c r="G225" s="37"/>
      <c r="H225" s="229">
        <f t="shared" si="17"/>
        <v>0</v>
      </c>
      <c r="I225" s="38">
        <f t="shared" si="18"/>
        <v>0</v>
      </c>
      <c r="J225" s="416"/>
    </row>
    <row r="226" spans="1:10" ht="12.75">
      <c r="A226" s="244" t="s">
        <v>439</v>
      </c>
      <c r="B226" s="245" t="s">
        <v>531</v>
      </c>
      <c r="C226" s="438" t="s">
        <v>532</v>
      </c>
      <c r="D226" s="234" t="s">
        <v>779</v>
      </c>
      <c r="E226" s="235"/>
      <c r="F226" s="236"/>
      <c r="G226" s="37"/>
      <c r="H226" s="229">
        <f t="shared" si="17"/>
        <v>0</v>
      </c>
      <c r="I226" s="38">
        <f t="shared" si="18"/>
        <v>0</v>
      </c>
      <c r="J226" s="416"/>
    </row>
    <row r="227" spans="1:10" ht="12.75">
      <c r="A227" s="244" t="s">
        <v>439</v>
      </c>
      <c r="B227" s="245" t="s">
        <v>533</v>
      </c>
      <c r="C227" s="438" t="s">
        <v>534</v>
      </c>
      <c r="D227" s="234" t="s">
        <v>779</v>
      </c>
      <c r="E227" s="235"/>
      <c r="F227" s="236"/>
      <c r="G227" s="37"/>
      <c r="H227" s="229">
        <f t="shared" si="17"/>
        <v>0</v>
      </c>
      <c r="I227" s="38">
        <f t="shared" si="18"/>
        <v>0</v>
      </c>
      <c r="J227" s="416"/>
    </row>
    <row r="228" spans="1:10" ht="12.75">
      <c r="A228" s="244" t="s">
        <v>439</v>
      </c>
      <c r="B228" s="245" t="s">
        <v>535</v>
      </c>
      <c r="C228" s="438" t="s">
        <v>536</v>
      </c>
      <c r="D228" s="234" t="s">
        <v>779</v>
      </c>
      <c r="E228" s="235"/>
      <c r="F228" s="236"/>
      <c r="G228" s="37"/>
      <c r="H228" s="229">
        <f t="shared" si="17"/>
        <v>0</v>
      </c>
      <c r="I228" s="38">
        <f t="shared" si="18"/>
        <v>0</v>
      </c>
      <c r="J228" s="416"/>
    </row>
    <row r="229" spans="1:10" ht="12.75">
      <c r="A229" s="244" t="s">
        <v>439</v>
      </c>
      <c r="B229" s="245" t="s">
        <v>537</v>
      </c>
      <c r="C229" s="438" t="s">
        <v>508</v>
      </c>
      <c r="D229" s="234" t="s">
        <v>779</v>
      </c>
      <c r="E229" s="235"/>
      <c r="F229" s="236"/>
      <c r="G229" s="37"/>
      <c r="H229" s="229">
        <f t="shared" si="17"/>
        <v>0</v>
      </c>
      <c r="I229" s="38">
        <f t="shared" si="18"/>
        <v>0</v>
      </c>
      <c r="J229" s="416"/>
    </row>
    <row r="230" spans="1:10" ht="12.75">
      <c r="A230" s="231"/>
      <c r="B230" s="232"/>
      <c r="C230" s="434"/>
      <c r="D230" s="234"/>
      <c r="E230" s="235"/>
      <c r="F230" s="236"/>
      <c r="G230" s="228"/>
      <c r="H230" s="229"/>
      <c r="I230" s="230"/>
      <c r="J230" s="416"/>
    </row>
    <row r="231" spans="1:10" ht="12.75">
      <c r="A231" s="231"/>
      <c r="B231" s="232" t="s">
        <v>538</v>
      </c>
      <c r="C231" s="434" t="s">
        <v>539</v>
      </c>
      <c r="D231" s="234"/>
      <c r="E231" s="235"/>
      <c r="F231" s="236"/>
      <c r="G231" s="228">
        <f>SUM(G232:G234)</f>
        <v>44344.73</v>
      </c>
      <c r="H231" s="229">
        <f>SUM(H232:H234)</f>
        <v>136000</v>
      </c>
      <c r="I231" s="230">
        <f>SUM(I232:I234)</f>
        <v>178000</v>
      </c>
      <c r="J231" s="416"/>
    </row>
    <row r="232" spans="1:10" ht="12.75">
      <c r="A232" s="244" t="s">
        <v>439</v>
      </c>
      <c r="B232" s="245" t="s">
        <v>540</v>
      </c>
      <c r="C232" s="438" t="s">
        <v>744</v>
      </c>
      <c r="D232" s="234" t="s">
        <v>779</v>
      </c>
      <c r="E232" s="235"/>
      <c r="F232" s="236"/>
      <c r="G232" s="37">
        <v>44344.73</v>
      </c>
      <c r="H232" s="229">
        <v>65000</v>
      </c>
      <c r="I232" s="38">
        <v>98000</v>
      </c>
      <c r="J232" s="416"/>
    </row>
    <row r="233" spans="1:10" ht="12.75">
      <c r="A233" s="244" t="s">
        <v>439</v>
      </c>
      <c r="B233" s="245" t="s">
        <v>1001</v>
      </c>
      <c r="C233" s="438" t="s">
        <v>484</v>
      </c>
      <c r="D233" s="234" t="s">
        <v>779</v>
      </c>
      <c r="E233" s="235"/>
      <c r="F233" s="236"/>
      <c r="G233" s="37"/>
      <c r="H233" s="229">
        <v>31000</v>
      </c>
      <c r="I233" s="38">
        <v>30000</v>
      </c>
      <c r="J233" s="416"/>
    </row>
    <row r="234" spans="1:10" ht="12.75">
      <c r="A234" s="244" t="s">
        <v>439</v>
      </c>
      <c r="B234" s="245" t="s">
        <v>542</v>
      </c>
      <c r="C234" s="438" t="s">
        <v>508</v>
      </c>
      <c r="D234" s="234" t="s">
        <v>779</v>
      </c>
      <c r="E234" s="235"/>
      <c r="F234" s="236"/>
      <c r="G234" s="37"/>
      <c r="H234" s="229">
        <v>40000</v>
      </c>
      <c r="I234" s="38">
        <v>50000</v>
      </c>
      <c r="J234" s="416"/>
    </row>
    <row r="235" spans="1:10" ht="12.75">
      <c r="A235" s="231"/>
      <c r="B235" s="232"/>
      <c r="C235" s="434"/>
      <c r="D235" s="234"/>
      <c r="E235" s="235"/>
      <c r="F235" s="236"/>
      <c r="G235" s="228"/>
      <c r="H235" s="229"/>
      <c r="I235" s="230"/>
      <c r="J235" s="416"/>
    </row>
    <row r="236" spans="1:10" ht="12.75">
      <c r="A236" s="231"/>
      <c r="B236" s="232" t="s">
        <v>543</v>
      </c>
      <c r="C236" s="434" t="s">
        <v>544</v>
      </c>
      <c r="D236" s="234"/>
      <c r="E236" s="235"/>
      <c r="F236" s="236"/>
      <c r="G236" s="228">
        <f>SUM(G237:G238)</f>
        <v>53323.9</v>
      </c>
      <c r="H236" s="229">
        <f>SUM(H237:H238)</f>
        <v>97000</v>
      </c>
      <c r="I236" s="230">
        <f>SUM(I237:I238)</f>
        <v>101000</v>
      </c>
      <c r="J236" s="416"/>
    </row>
    <row r="237" spans="1:10" ht="12.75">
      <c r="A237" s="244" t="s">
        <v>439</v>
      </c>
      <c r="B237" s="245" t="s">
        <v>545</v>
      </c>
      <c r="C237" s="438" t="s">
        <v>554</v>
      </c>
      <c r="D237" s="234" t="s">
        <v>779</v>
      </c>
      <c r="E237" s="235"/>
      <c r="F237" s="236"/>
      <c r="G237" s="37">
        <v>53323.9</v>
      </c>
      <c r="H237" s="229">
        <v>97000</v>
      </c>
      <c r="I237" s="38">
        <v>101000</v>
      </c>
      <c r="J237" s="416"/>
    </row>
    <row r="238" spans="1:10" ht="12.75">
      <c r="A238" s="244" t="s">
        <v>439</v>
      </c>
      <c r="B238" s="245" t="s">
        <v>546</v>
      </c>
      <c r="C238" s="438" t="s">
        <v>508</v>
      </c>
      <c r="D238" s="234" t="s">
        <v>779</v>
      </c>
      <c r="E238" s="235"/>
      <c r="F238" s="236"/>
      <c r="G238" s="37"/>
      <c r="H238" s="229">
        <f>G238/6*12</f>
        <v>0</v>
      </c>
      <c r="I238" s="38">
        <f>ROUND(H238*1.1445,-3)</f>
        <v>0</v>
      </c>
      <c r="J238" s="416"/>
    </row>
    <row r="239" spans="1:10" ht="12.75">
      <c r="A239" s="231"/>
      <c r="B239" s="232"/>
      <c r="C239" s="434"/>
      <c r="D239" s="234"/>
      <c r="E239" s="235"/>
      <c r="F239" s="236"/>
      <c r="G239" s="228"/>
      <c r="H239" s="229"/>
      <c r="I239" s="230"/>
      <c r="J239" s="416"/>
    </row>
    <row r="240" spans="1:10" ht="12.75">
      <c r="A240" s="231"/>
      <c r="B240" s="232" t="s">
        <v>547</v>
      </c>
      <c r="C240" s="434" t="s">
        <v>548</v>
      </c>
      <c r="D240" s="234"/>
      <c r="E240" s="235"/>
      <c r="F240" s="236"/>
      <c r="G240" s="228">
        <f>SUM(G241:G243)</f>
        <v>0</v>
      </c>
      <c r="H240" s="229">
        <f>SUM(H241:H243)</f>
        <v>0</v>
      </c>
      <c r="I240" s="230">
        <f>SUM(I241:I243)</f>
        <v>0</v>
      </c>
      <c r="J240" s="416"/>
    </row>
    <row r="241" spans="1:10" ht="12.75">
      <c r="A241" s="244" t="s">
        <v>439</v>
      </c>
      <c r="B241" s="245" t="s">
        <v>549</v>
      </c>
      <c r="C241" s="438" t="s">
        <v>550</v>
      </c>
      <c r="D241" s="234" t="s">
        <v>779</v>
      </c>
      <c r="E241" s="235"/>
      <c r="F241" s="236"/>
      <c r="G241" s="37"/>
      <c r="H241" s="229">
        <f>G241/6*12</f>
        <v>0</v>
      </c>
      <c r="I241" s="38">
        <f>ROUND(H241*1.1445,-3)</f>
        <v>0</v>
      </c>
      <c r="J241" s="416"/>
    </row>
    <row r="242" spans="1:10" ht="12.75">
      <c r="A242" s="244" t="s">
        <v>439</v>
      </c>
      <c r="B242" s="245" t="s">
        <v>551</v>
      </c>
      <c r="C242" s="438" t="s">
        <v>552</v>
      </c>
      <c r="D242" s="234" t="s">
        <v>779</v>
      </c>
      <c r="E242" s="235"/>
      <c r="F242" s="236"/>
      <c r="G242" s="37"/>
      <c r="H242" s="229">
        <f>G242/6*12</f>
        <v>0</v>
      </c>
      <c r="I242" s="38">
        <f>ROUND(H242*1.1445,-3)</f>
        <v>0</v>
      </c>
      <c r="J242" s="416"/>
    </row>
    <row r="243" spans="1:10" ht="12.75">
      <c r="A243" s="244" t="s">
        <v>439</v>
      </c>
      <c r="B243" s="245" t="s">
        <v>553</v>
      </c>
      <c r="C243" s="438" t="s">
        <v>508</v>
      </c>
      <c r="D243" s="234" t="s">
        <v>779</v>
      </c>
      <c r="E243" s="235"/>
      <c r="F243" s="236"/>
      <c r="G243" s="37"/>
      <c r="H243" s="229">
        <f>G243/6*12</f>
        <v>0</v>
      </c>
      <c r="I243" s="38">
        <f>ROUND(H243*1.1445,-3)</f>
        <v>0</v>
      </c>
      <c r="J243" s="416"/>
    </row>
    <row r="244" spans="1:10" ht="12.75">
      <c r="A244" s="231"/>
      <c r="B244" s="232"/>
      <c r="C244" s="434"/>
      <c r="D244" s="234"/>
      <c r="E244" s="235"/>
      <c r="F244" s="236"/>
      <c r="G244" s="228"/>
      <c r="H244" s="229"/>
      <c r="I244" s="230"/>
      <c r="J244" s="416"/>
    </row>
    <row r="245" spans="1:10" ht="12.75" hidden="1">
      <c r="A245" s="231"/>
      <c r="B245" s="232" t="s">
        <v>747</v>
      </c>
      <c r="C245" s="434" t="s">
        <v>748</v>
      </c>
      <c r="D245" s="234"/>
      <c r="E245" s="235"/>
      <c r="F245" s="236"/>
      <c r="G245" s="228">
        <f>G246</f>
        <v>0</v>
      </c>
      <c r="H245" s="229">
        <f>H246</f>
        <v>0</v>
      </c>
      <c r="I245" s="230">
        <f>I246</f>
        <v>0</v>
      </c>
      <c r="J245" s="416"/>
    </row>
    <row r="246" spans="1:10" ht="12.75" hidden="1">
      <c r="A246" s="244" t="s">
        <v>439</v>
      </c>
      <c r="B246" s="245" t="s">
        <v>749</v>
      </c>
      <c r="C246" s="438" t="s">
        <v>843</v>
      </c>
      <c r="D246" s="234" t="s">
        <v>779</v>
      </c>
      <c r="E246" s="235"/>
      <c r="F246" s="236"/>
      <c r="G246" s="37"/>
      <c r="H246" s="229">
        <f>G246/6*12</f>
        <v>0</v>
      </c>
      <c r="I246" s="38">
        <f>ROUND(H246*1.1445,-3)</f>
        <v>0</v>
      </c>
      <c r="J246" s="416"/>
    </row>
    <row r="247" spans="1:10" ht="12.75" hidden="1">
      <c r="A247" s="231"/>
      <c r="B247" s="232"/>
      <c r="C247" s="434"/>
      <c r="D247" s="234"/>
      <c r="E247" s="235"/>
      <c r="F247" s="236"/>
      <c r="G247" s="228"/>
      <c r="H247" s="229"/>
      <c r="I247" s="230"/>
      <c r="J247" s="416"/>
    </row>
    <row r="248" spans="1:10" ht="12.75">
      <c r="A248" s="231"/>
      <c r="B248" s="232" t="s">
        <v>411</v>
      </c>
      <c r="C248" s="434" t="s">
        <v>508</v>
      </c>
      <c r="D248" s="234"/>
      <c r="E248" s="235"/>
      <c r="F248" s="236"/>
      <c r="G248" s="228">
        <f>G250+G249</f>
        <v>0</v>
      </c>
      <c r="H248" s="229">
        <f>H250+H249</f>
        <v>0</v>
      </c>
      <c r="I248" s="230">
        <f>I250+I249</f>
        <v>0</v>
      </c>
      <c r="J248" s="416"/>
    </row>
    <row r="249" spans="1:10" ht="12.75">
      <c r="A249" s="244" t="s">
        <v>439</v>
      </c>
      <c r="B249" s="245" t="s">
        <v>842</v>
      </c>
      <c r="C249" s="438" t="s">
        <v>698</v>
      </c>
      <c r="D249" s="234" t="s">
        <v>779</v>
      </c>
      <c r="E249" s="235"/>
      <c r="F249" s="236"/>
      <c r="G249" s="37"/>
      <c r="H249" s="229">
        <f>G249/6*12</f>
        <v>0</v>
      </c>
      <c r="I249" s="38">
        <f>ROUND(H249*1.1445,-3)</f>
        <v>0</v>
      </c>
      <c r="J249" s="416"/>
    </row>
    <row r="250" spans="1:10" ht="12.75">
      <c r="A250" s="244" t="s">
        <v>439</v>
      </c>
      <c r="B250" s="245" t="s">
        <v>676</v>
      </c>
      <c r="C250" s="438" t="s">
        <v>675</v>
      </c>
      <c r="D250" s="234" t="s">
        <v>779</v>
      </c>
      <c r="E250" s="235"/>
      <c r="F250" s="236"/>
      <c r="G250" s="37"/>
      <c r="H250" s="229">
        <f>G250/6*12</f>
        <v>0</v>
      </c>
      <c r="I250" s="38">
        <f>ROUND(H250*1.1445,-3)</f>
        <v>0</v>
      </c>
      <c r="J250" s="416"/>
    </row>
    <row r="251" spans="1:10" ht="12.75">
      <c r="A251" s="231"/>
      <c r="B251" s="232"/>
      <c r="C251" s="434"/>
      <c r="D251" s="234"/>
      <c r="E251" s="235"/>
      <c r="F251" s="236"/>
      <c r="G251" s="228"/>
      <c r="H251" s="229"/>
      <c r="I251" s="230"/>
      <c r="J251" s="416"/>
    </row>
    <row r="252" spans="1:10" ht="12.75">
      <c r="A252" s="231"/>
      <c r="B252" s="232" t="s">
        <v>412</v>
      </c>
      <c r="C252" s="434" t="s">
        <v>414</v>
      </c>
      <c r="D252" s="234"/>
      <c r="E252" s="235"/>
      <c r="F252" s="236"/>
      <c r="G252" s="228">
        <f>SUM(G253:G262)</f>
        <v>447633.2</v>
      </c>
      <c r="H252" s="229">
        <f>SUM(H253:H262)</f>
        <v>1050000</v>
      </c>
      <c r="I252" s="230">
        <f>SUM(I253:I262)</f>
        <v>1201000</v>
      </c>
      <c r="J252" s="416"/>
    </row>
    <row r="253" spans="1:10" ht="12.75">
      <c r="A253" s="248" t="s">
        <v>438</v>
      </c>
      <c r="B253" s="249" t="s">
        <v>454</v>
      </c>
      <c r="C253" s="441" t="s">
        <v>617</v>
      </c>
      <c r="D253" s="234" t="s">
        <v>780</v>
      </c>
      <c r="E253" s="235"/>
      <c r="F253" s="236"/>
      <c r="G253" s="41">
        <v>94500</v>
      </c>
      <c r="H253" s="229">
        <v>190000</v>
      </c>
      <c r="I253" s="42">
        <v>162000</v>
      </c>
      <c r="J253" s="416"/>
    </row>
    <row r="254" spans="1:10" ht="12.75">
      <c r="A254" s="248" t="s">
        <v>438</v>
      </c>
      <c r="B254" s="249" t="s">
        <v>455</v>
      </c>
      <c r="C254" s="441" t="s">
        <v>846</v>
      </c>
      <c r="D254" s="234" t="s">
        <v>780</v>
      </c>
      <c r="E254" s="235"/>
      <c r="F254" s="236"/>
      <c r="G254" s="41">
        <v>9877.74</v>
      </c>
      <c r="H254" s="229">
        <v>50000</v>
      </c>
      <c r="I254" s="42">
        <f aca="true" t="shared" si="19" ref="I254:I262">ROUND(H254*1.1445,-3)</f>
        <v>57000</v>
      </c>
      <c r="J254" s="416"/>
    </row>
    <row r="255" spans="1:10" ht="12.75">
      <c r="A255" s="248" t="s">
        <v>438</v>
      </c>
      <c r="B255" s="249" t="s">
        <v>456</v>
      </c>
      <c r="C255" s="441" t="s">
        <v>618</v>
      </c>
      <c r="D255" s="234" t="s">
        <v>780</v>
      </c>
      <c r="E255" s="235"/>
      <c r="F255" s="236"/>
      <c r="G255" s="41"/>
      <c r="H255" s="229">
        <f>G255/6*12</f>
        <v>0</v>
      </c>
      <c r="I255" s="42">
        <v>55000</v>
      </c>
      <c r="J255" s="416"/>
    </row>
    <row r="256" spans="1:10" ht="12.75">
      <c r="A256" s="248" t="s">
        <v>438</v>
      </c>
      <c r="B256" s="249" t="s">
        <v>457</v>
      </c>
      <c r="C256" s="441" t="s">
        <v>666</v>
      </c>
      <c r="D256" s="234" t="s">
        <v>780</v>
      </c>
      <c r="E256" s="235"/>
      <c r="F256" s="236"/>
      <c r="G256" s="41">
        <v>61556.25</v>
      </c>
      <c r="H256" s="229">
        <v>50000</v>
      </c>
      <c r="I256" s="42">
        <f>ROUND(H256*1.1445,-3)+83000</f>
        <v>140000</v>
      </c>
      <c r="J256" s="416"/>
    </row>
    <row r="257" spans="1:10" ht="12.75">
      <c r="A257" s="248" t="s">
        <v>438</v>
      </c>
      <c r="B257" s="249" t="s">
        <v>458</v>
      </c>
      <c r="C257" s="441" t="s">
        <v>669</v>
      </c>
      <c r="D257" s="234" t="s">
        <v>780</v>
      </c>
      <c r="E257" s="235"/>
      <c r="F257" s="236"/>
      <c r="G257" s="41"/>
      <c r="H257" s="229">
        <v>40000</v>
      </c>
      <c r="I257" s="42">
        <f t="shared" si="19"/>
        <v>46000</v>
      </c>
      <c r="J257" s="416"/>
    </row>
    <row r="258" spans="1:10" ht="12.75">
      <c r="A258" s="248" t="s">
        <v>438</v>
      </c>
      <c r="B258" s="249" t="s">
        <v>606</v>
      </c>
      <c r="C258" s="441" t="s">
        <v>707</v>
      </c>
      <c r="D258" s="234" t="s">
        <v>780</v>
      </c>
      <c r="E258" s="235"/>
      <c r="F258" s="236"/>
      <c r="G258" s="41"/>
      <c r="H258" s="229">
        <f>G258/6*12</f>
        <v>0</v>
      </c>
      <c r="I258" s="42">
        <f t="shared" si="19"/>
        <v>0</v>
      </c>
      <c r="J258" s="416"/>
    </row>
    <row r="259" spans="1:10" ht="12.75">
      <c r="A259" s="248" t="s">
        <v>438</v>
      </c>
      <c r="B259" s="249" t="s">
        <v>459</v>
      </c>
      <c r="C259" s="441" t="s">
        <v>708</v>
      </c>
      <c r="D259" s="234" t="s">
        <v>780</v>
      </c>
      <c r="E259" s="235"/>
      <c r="F259" s="236"/>
      <c r="G259" s="41">
        <v>252000</v>
      </c>
      <c r="H259" s="229">
        <v>640000</v>
      </c>
      <c r="I259" s="42">
        <f>ROUND(H259*1.1445,-3)-83000</f>
        <v>649000</v>
      </c>
      <c r="J259" s="416"/>
    </row>
    <row r="260" spans="1:10" ht="12.75">
      <c r="A260" s="248" t="s">
        <v>438</v>
      </c>
      <c r="B260" s="249" t="s">
        <v>670</v>
      </c>
      <c r="C260" s="441" t="s">
        <v>619</v>
      </c>
      <c r="D260" s="234" t="s">
        <v>780</v>
      </c>
      <c r="E260" s="235"/>
      <c r="F260" s="236"/>
      <c r="G260" s="41">
        <v>25199.21</v>
      </c>
      <c r="H260" s="229">
        <v>80000</v>
      </c>
      <c r="I260" s="42">
        <f t="shared" si="19"/>
        <v>92000</v>
      </c>
      <c r="J260" s="416"/>
    </row>
    <row r="261" spans="1:10" ht="12.75">
      <c r="A261" s="248" t="s">
        <v>438</v>
      </c>
      <c r="B261" s="249" t="s">
        <v>709</v>
      </c>
      <c r="C261" s="441" t="s">
        <v>710</v>
      </c>
      <c r="D261" s="234" t="s">
        <v>780</v>
      </c>
      <c r="E261" s="235"/>
      <c r="F261" s="236"/>
      <c r="G261" s="41">
        <v>4500</v>
      </c>
      <c r="H261" s="229">
        <v>0</v>
      </c>
      <c r="I261" s="42">
        <f t="shared" si="19"/>
        <v>0</v>
      </c>
      <c r="J261" s="416"/>
    </row>
    <row r="262" spans="1:10" ht="12.75">
      <c r="A262" s="248" t="s">
        <v>438</v>
      </c>
      <c r="B262" s="249" t="s">
        <v>413</v>
      </c>
      <c r="C262" s="441" t="s">
        <v>620</v>
      </c>
      <c r="D262" s="234" t="s">
        <v>780</v>
      </c>
      <c r="E262" s="235"/>
      <c r="F262" s="236"/>
      <c r="G262" s="41"/>
      <c r="H262" s="229">
        <f>G262/6*12</f>
        <v>0</v>
      </c>
      <c r="I262" s="42">
        <f t="shared" si="19"/>
        <v>0</v>
      </c>
      <c r="J262" s="416"/>
    </row>
    <row r="263" spans="1:10" ht="12.75">
      <c r="A263" s="231"/>
      <c r="B263" s="232"/>
      <c r="C263" s="434"/>
      <c r="D263" s="234"/>
      <c r="E263" s="235"/>
      <c r="F263" s="236"/>
      <c r="G263" s="228"/>
      <c r="H263" s="229"/>
      <c r="I263" s="230"/>
      <c r="J263" s="416"/>
    </row>
    <row r="264" spans="1:10" ht="12.75">
      <c r="A264" s="231"/>
      <c r="B264" s="232" t="s">
        <v>109</v>
      </c>
      <c r="C264" s="434" t="s">
        <v>329</v>
      </c>
      <c r="D264" s="234"/>
      <c r="E264" s="235"/>
      <c r="F264" s="236"/>
      <c r="G264" s="228">
        <f>SUM(G265:G268,G270)</f>
        <v>473708.61000000004</v>
      </c>
      <c r="H264" s="229">
        <f>SUM(H265:H268,H270)</f>
        <v>1195000</v>
      </c>
      <c r="I264" s="230">
        <f>SUM(I265:I268,I270)</f>
        <v>1367000</v>
      </c>
      <c r="J264" s="416"/>
    </row>
    <row r="265" spans="1:10" ht="12.75">
      <c r="A265" s="231" t="s">
        <v>468</v>
      </c>
      <c r="B265" s="232" t="s">
        <v>110</v>
      </c>
      <c r="C265" s="434" t="s">
        <v>330</v>
      </c>
      <c r="D265" s="234" t="s">
        <v>781</v>
      </c>
      <c r="E265" s="235"/>
      <c r="F265" s="236"/>
      <c r="G265" s="35">
        <v>274953.53</v>
      </c>
      <c r="H265" s="229">
        <v>477000</v>
      </c>
      <c r="I265" s="36">
        <f>ROUND(H265*1.1445,-3)</f>
        <v>546000</v>
      </c>
      <c r="J265" s="416"/>
    </row>
    <row r="266" spans="1:10" ht="12.75">
      <c r="A266" s="231" t="s">
        <v>468</v>
      </c>
      <c r="B266" s="232" t="s">
        <v>111</v>
      </c>
      <c r="C266" s="434" t="s">
        <v>331</v>
      </c>
      <c r="D266" s="234" t="s">
        <v>762</v>
      </c>
      <c r="E266" s="235"/>
      <c r="F266" s="236"/>
      <c r="G266" s="35"/>
      <c r="H266" s="229">
        <f>G266/6*12</f>
        <v>0</v>
      </c>
      <c r="I266" s="36">
        <f>ROUND(H266*1.1445,-3)</f>
        <v>0</v>
      </c>
      <c r="J266" s="416"/>
    </row>
    <row r="267" spans="1:10" ht="12.75">
      <c r="A267" s="231" t="s">
        <v>468</v>
      </c>
      <c r="B267" s="232" t="s">
        <v>113</v>
      </c>
      <c r="C267" s="434" t="s">
        <v>112</v>
      </c>
      <c r="D267" s="234" t="s">
        <v>764</v>
      </c>
      <c r="E267" s="235"/>
      <c r="F267" s="236"/>
      <c r="G267" s="35">
        <v>91896</v>
      </c>
      <c r="H267" s="229">
        <v>279000</v>
      </c>
      <c r="I267" s="36">
        <f>ROUND(H267*1.1445,-3)</f>
        <v>319000</v>
      </c>
      <c r="J267" s="416"/>
    </row>
    <row r="268" spans="1:10" ht="12.75">
      <c r="A268" s="231" t="s">
        <v>468</v>
      </c>
      <c r="B268" s="232" t="s">
        <v>114</v>
      </c>
      <c r="C268" s="434" t="s">
        <v>332</v>
      </c>
      <c r="D268" s="234" t="s">
        <v>766</v>
      </c>
      <c r="E268" s="235"/>
      <c r="F268" s="236"/>
      <c r="G268" s="35">
        <v>56432.88</v>
      </c>
      <c r="H268" s="229">
        <v>251000</v>
      </c>
      <c r="I268" s="36">
        <f>ROUND(H268*1.1445,-3)</f>
        <v>287000</v>
      </c>
      <c r="J268" s="416"/>
    </row>
    <row r="269" spans="1:10" ht="12.75">
      <c r="A269" s="231"/>
      <c r="B269" s="232"/>
      <c r="C269" s="434"/>
      <c r="D269" s="234"/>
      <c r="E269" s="235"/>
      <c r="F269" s="236"/>
      <c r="G269" s="228"/>
      <c r="H269" s="229"/>
      <c r="I269" s="230"/>
      <c r="J269" s="416"/>
    </row>
    <row r="270" spans="1:10" ht="12.75">
      <c r="A270" s="231"/>
      <c r="B270" s="232" t="s">
        <v>115</v>
      </c>
      <c r="C270" s="434" t="s">
        <v>622</v>
      </c>
      <c r="D270" s="234"/>
      <c r="E270" s="235"/>
      <c r="F270" s="236"/>
      <c r="G270" s="228">
        <f>SUM(G271:G276)</f>
        <v>50426.2</v>
      </c>
      <c r="H270" s="229">
        <f>SUM(H271:H276)</f>
        <v>188000</v>
      </c>
      <c r="I270" s="230">
        <f>SUM(I271:I276)</f>
        <v>215000</v>
      </c>
      <c r="J270" s="416"/>
    </row>
    <row r="271" spans="1:10" ht="12.75">
      <c r="A271" s="231" t="s">
        <v>468</v>
      </c>
      <c r="B271" s="232" t="s">
        <v>453</v>
      </c>
      <c r="C271" s="434" t="s">
        <v>621</v>
      </c>
      <c r="D271" s="234" t="s">
        <v>764</v>
      </c>
      <c r="E271" s="235"/>
      <c r="F271" s="236"/>
      <c r="G271" s="35">
        <v>2736</v>
      </c>
      <c r="H271" s="229">
        <v>13000</v>
      </c>
      <c r="I271" s="36">
        <f aca="true" t="shared" si="20" ref="I271:I276">ROUND(H271*1.1445,-3)</f>
        <v>15000</v>
      </c>
      <c r="J271" s="416"/>
    </row>
    <row r="272" spans="1:10" ht="12.75">
      <c r="A272" s="231" t="s">
        <v>468</v>
      </c>
      <c r="B272" s="232" t="s">
        <v>667</v>
      </c>
      <c r="C272" s="434" t="s">
        <v>668</v>
      </c>
      <c r="D272" s="234" t="s">
        <v>764</v>
      </c>
      <c r="E272" s="235"/>
      <c r="F272" s="236"/>
      <c r="G272" s="35">
        <v>12624</v>
      </c>
      <c r="H272" s="229">
        <v>41000</v>
      </c>
      <c r="I272" s="36">
        <f t="shared" si="20"/>
        <v>47000</v>
      </c>
      <c r="J272" s="416"/>
    </row>
    <row r="273" spans="1:10" ht="12.75">
      <c r="A273" s="231" t="s">
        <v>468</v>
      </c>
      <c r="B273" s="232" t="s">
        <v>732</v>
      </c>
      <c r="C273" s="434" t="s">
        <v>730</v>
      </c>
      <c r="D273" s="234" t="s">
        <v>764</v>
      </c>
      <c r="E273" s="235"/>
      <c r="F273" s="236"/>
      <c r="G273" s="35">
        <v>34248</v>
      </c>
      <c r="H273" s="229">
        <v>79000</v>
      </c>
      <c r="I273" s="36">
        <f t="shared" si="20"/>
        <v>90000</v>
      </c>
      <c r="J273" s="416"/>
    </row>
    <row r="274" spans="1:10" ht="12.75">
      <c r="A274" s="231" t="s">
        <v>468</v>
      </c>
      <c r="B274" s="232" t="s">
        <v>733</v>
      </c>
      <c r="C274" s="434" t="s">
        <v>731</v>
      </c>
      <c r="D274" s="234" t="s">
        <v>764</v>
      </c>
      <c r="E274" s="235"/>
      <c r="F274" s="236"/>
      <c r="G274" s="35"/>
      <c r="H274" s="229">
        <f>G274/6*12</f>
        <v>0</v>
      </c>
      <c r="I274" s="36">
        <f t="shared" si="20"/>
        <v>0</v>
      </c>
      <c r="J274" s="416"/>
    </row>
    <row r="275" spans="1:10" ht="12.75">
      <c r="A275" s="231" t="s">
        <v>468</v>
      </c>
      <c r="B275" s="232" t="s">
        <v>844</v>
      </c>
      <c r="C275" s="434" t="s">
        <v>845</v>
      </c>
      <c r="D275" s="234" t="s">
        <v>764</v>
      </c>
      <c r="E275" s="235"/>
      <c r="F275" s="236"/>
      <c r="G275" s="35"/>
      <c r="H275" s="229">
        <f>G275/6*12</f>
        <v>0</v>
      </c>
      <c r="I275" s="36">
        <f t="shared" si="20"/>
        <v>0</v>
      </c>
      <c r="J275" s="416"/>
    </row>
    <row r="276" spans="1:10" ht="12.75">
      <c r="A276" s="231" t="s">
        <v>468</v>
      </c>
      <c r="B276" s="232" t="s">
        <v>602</v>
      </c>
      <c r="C276" s="434" t="s">
        <v>603</v>
      </c>
      <c r="D276" s="234" t="s">
        <v>787</v>
      </c>
      <c r="E276" s="235"/>
      <c r="F276" s="236"/>
      <c r="G276" s="35">
        <v>818.2</v>
      </c>
      <c r="H276" s="229">
        <v>55000</v>
      </c>
      <c r="I276" s="36">
        <f t="shared" si="20"/>
        <v>63000</v>
      </c>
      <c r="J276" s="416"/>
    </row>
    <row r="277" spans="1:10" ht="12.75">
      <c r="A277" s="231"/>
      <c r="B277" s="232"/>
      <c r="C277" s="434"/>
      <c r="D277" s="234"/>
      <c r="E277" s="235"/>
      <c r="F277" s="236"/>
      <c r="G277" s="228"/>
      <c r="H277" s="229"/>
      <c r="I277" s="230"/>
      <c r="J277" s="416"/>
    </row>
    <row r="278" spans="1:10" ht="12.75">
      <c r="A278" s="231" t="s">
        <v>441</v>
      </c>
      <c r="B278" s="232" t="s">
        <v>556</v>
      </c>
      <c r="C278" s="434" t="s">
        <v>429</v>
      </c>
      <c r="D278" s="234" t="s">
        <v>778</v>
      </c>
      <c r="E278" s="235" t="s">
        <v>782</v>
      </c>
      <c r="F278" s="236" t="s">
        <v>783</v>
      </c>
      <c r="G278" s="35">
        <v>3543.18</v>
      </c>
      <c r="H278" s="229">
        <v>8000</v>
      </c>
      <c r="I278" s="36">
        <f>ROUND(H278*1.1445,-3)</f>
        <v>9000</v>
      </c>
      <c r="J278" s="416"/>
    </row>
    <row r="279" spans="1:10" ht="12.75">
      <c r="A279" s="231" t="s">
        <v>441</v>
      </c>
      <c r="B279" s="232" t="s">
        <v>557</v>
      </c>
      <c r="C279" s="434" t="s">
        <v>428</v>
      </c>
      <c r="D279" s="234" t="s">
        <v>778</v>
      </c>
      <c r="E279" s="235"/>
      <c r="F279" s="236"/>
      <c r="G279" s="192">
        <v>-708.6</v>
      </c>
      <c r="H279" s="229">
        <v>-1600</v>
      </c>
      <c r="I279" s="370">
        <f>-I278*0.2</f>
        <v>-1800</v>
      </c>
      <c r="J279" s="416"/>
    </row>
    <row r="280" spans="1:10" ht="12.75">
      <c r="A280" s="231" t="s">
        <v>441</v>
      </c>
      <c r="B280" s="232" t="s">
        <v>430</v>
      </c>
      <c r="C280" s="434" t="s">
        <v>431</v>
      </c>
      <c r="D280" s="234" t="s">
        <v>778</v>
      </c>
      <c r="E280" s="235"/>
      <c r="F280" s="236"/>
      <c r="G280" s="35">
        <v>283664.81</v>
      </c>
      <c r="H280" s="229">
        <v>269800</v>
      </c>
      <c r="I280" s="546">
        <f>ROUND(H280*1.1445,-3)+36400-1000-59000+1000000</f>
        <v>1285400</v>
      </c>
      <c r="J280" s="416"/>
    </row>
    <row r="281" spans="1:10" ht="12.75">
      <c r="A281" s="231"/>
      <c r="B281" s="232"/>
      <c r="C281" s="434"/>
      <c r="D281" s="234"/>
      <c r="E281" s="235"/>
      <c r="F281" s="236"/>
      <c r="G281" s="228"/>
      <c r="H281" s="229"/>
      <c r="I281" s="230"/>
      <c r="J281" s="416"/>
    </row>
    <row r="282" spans="1:10" ht="12.75">
      <c r="A282" s="231"/>
      <c r="B282" s="232" t="s">
        <v>117</v>
      </c>
      <c r="C282" s="434" t="s">
        <v>116</v>
      </c>
      <c r="D282" s="234"/>
      <c r="E282" s="235"/>
      <c r="F282" s="236"/>
      <c r="G282" s="228">
        <f>G283+G293+G295+G297+G299</f>
        <v>1242208.7300000002</v>
      </c>
      <c r="H282" s="229">
        <f>H283+SUM(H294:H297)</f>
        <v>2262000</v>
      </c>
      <c r="I282" s="230">
        <f>I283+SUM(I294:I297)</f>
        <v>3246800</v>
      </c>
      <c r="J282" s="416"/>
    </row>
    <row r="283" spans="1:10" ht="12.75">
      <c r="A283" s="231"/>
      <c r="B283" s="232" t="s">
        <v>118</v>
      </c>
      <c r="C283" s="434" t="s">
        <v>333</v>
      </c>
      <c r="D283" s="234"/>
      <c r="E283" s="235"/>
      <c r="F283" s="236"/>
      <c r="G283" s="228">
        <f>SUM(G284,G286,G288,G290,G291)+(G285+G287+G289)</f>
        <v>1138116.2300000002</v>
      </c>
      <c r="H283" s="229">
        <f>SUM(H284,H286,H288,H290,H291)+(H285+H287+H289)</f>
        <v>2190000</v>
      </c>
      <c r="I283" s="230">
        <f>SUM(I284,I286,I288,I290,I291)+(I285+I287+I289)</f>
        <v>2506800</v>
      </c>
      <c r="J283" s="416"/>
    </row>
    <row r="284" spans="1:10" ht="12.75">
      <c r="A284" s="231" t="s">
        <v>441</v>
      </c>
      <c r="B284" s="232" t="s">
        <v>120</v>
      </c>
      <c r="C284" s="434" t="s">
        <v>119</v>
      </c>
      <c r="D284" s="234" t="s">
        <v>778</v>
      </c>
      <c r="E284" s="235" t="s">
        <v>782</v>
      </c>
      <c r="F284" s="236" t="s">
        <v>783</v>
      </c>
      <c r="G284" s="35">
        <v>1166044.55</v>
      </c>
      <c r="H284" s="229">
        <v>2199000</v>
      </c>
      <c r="I284" s="36">
        <f>ROUND(H284*1.1445,-3)</f>
        <v>2517000</v>
      </c>
      <c r="J284" s="416"/>
    </row>
    <row r="285" spans="1:10" ht="12.75">
      <c r="A285" s="231" t="s">
        <v>441</v>
      </c>
      <c r="B285" s="232" t="s">
        <v>558</v>
      </c>
      <c r="C285" s="434" t="s">
        <v>334</v>
      </c>
      <c r="D285" s="234" t="s">
        <v>778</v>
      </c>
      <c r="E285" s="235"/>
      <c r="F285" s="236"/>
      <c r="G285" s="192">
        <v>-233208.97</v>
      </c>
      <c r="H285" s="229">
        <v>-439800</v>
      </c>
      <c r="I285" s="370">
        <f>-I284*0.2</f>
        <v>-503400</v>
      </c>
      <c r="J285" s="416"/>
    </row>
    <row r="286" spans="1:10" ht="12.75">
      <c r="A286" s="231" t="s">
        <v>441</v>
      </c>
      <c r="B286" s="232" t="s">
        <v>406</v>
      </c>
      <c r="C286" s="434" t="s">
        <v>335</v>
      </c>
      <c r="D286" s="234" t="s">
        <v>778</v>
      </c>
      <c r="E286" s="235" t="s">
        <v>782</v>
      </c>
      <c r="F286" s="236" t="s">
        <v>783</v>
      </c>
      <c r="G286" s="35">
        <v>222187</v>
      </c>
      <c r="H286" s="229">
        <v>466000</v>
      </c>
      <c r="I286" s="36">
        <f>ROUND(H286*1.1445,-3)</f>
        <v>533000</v>
      </c>
      <c r="J286" s="416"/>
    </row>
    <row r="287" spans="1:10" ht="12.75">
      <c r="A287" s="231" t="s">
        <v>441</v>
      </c>
      <c r="B287" s="232" t="s">
        <v>559</v>
      </c>
      <c r="C287" s="434" t="s">
        <v>560</v>
      </c>
      <c r="D287" s="234" t="s">
        <v>778</v>
      </c>
      <c r="E287" s="235"/>
      <c r="F287" s="236"/>
      <c r="G287" s="192">
        <v>-44437.53</v>
      </c>
      <c r="H287" s="229">
        <v>-93200</v>
      </c>
      <c r="I287" s="370">
        <f>-I286*0.2</f>
        <v>-106600</v>
      </c>
      <c r="J287" s="416"/>
    </row>
    <row r="288" spans="1:10" ht="12.75">
      <c r="A288" s="231" t="s">
        <v>441</v>
      </c>
      <c r="B288" s="232" t="s">
        <v>407</v>
      </c>
      <c r="C288" s="434" t="s">
        <v>336</v>
      </c>
      <c r="D288" s="234" t="s">
        <v>778</v>
      </c>
      <c r="E288" s="235" t="s">
        <v>782</v>
      </c>
      <c r="F288" s="236" t="s">
        <v>783</v>
      </c>
      <c r="G288" s="35">
        <v>2783.3</v>
      </c>
      <c r="H288" s="229">
        <v>5000</v>
      </c>
      <c r="I288" s="36">
        <f>ROUND(H288*1.1445,-3)</f>
        <v>6000</v>
      </c>
      <c r="J288" s="416"/>
    </row>
    <row r="289" spans="1:10" ht="12.75">
      <c r="A289" s="231" t="s">
        <v>441</v>
      </c>
      <c r="B289" s="232" t="s">
        <v>725</v>
      </c>
      <c r="C289" s="434" t="s">
        <v>337</v>
      </c>
      <c r="D289" s="234" t="s">
        <v>778</v>
      </c>
      <c r="E289" s="235"/>
      <c r="F289" s="236"/>
      <c r="G289" s="192">
        <v>-556.69</v>
      </c>
      <c r="H289" s="229">
        <v>-1000</v>
      </c>
      <c r="I289" s="370">
        <f>-I288*0.2</f>
        <v>-1200</v>
      </c>
      <c r="J289" s="416"/>
    </row>
    <row r="290" spans="1:10" ht="12.75">
      <c r="A290" s="231" t="s">
        <v>441</v>
      </c>
      <c r="B290" s="232" t="s">
        <v>156</v>
      </c>
      <c r="C290" s="434" t="s">
        <v>338</v>
      </c>
      <c r="D290" s="234" t="s">
        <v>778</v>
      </c>
      <c r="E290" s="235"/>
      <c r="F290" s="236"/>
      <c r="G290" s="35">
        <v>25304.57</v>
      </c>
      <c r="H290" s="229">
        <v>54000</v>
      </c>
      <c r="I290" s="36">
        <f>ROUND(H290*1.1445,-3)</f>
        <v>62000</v>
      </c>
      <c r="J290" s="416"/>
    </row>
    <row r="291" spans="1:10" ht="12.75">
      <c r="A291" s="231" t="s">
        <v>441</v>
      </c>
      <c r="B291" s="232" t="s">
        <v>408</v>
      </c>
      <c r="C291" s="434" t="s">
        <v>342</v>
      </c>
      <c r="D291" s="234" t="s">
        <v>778</v>
      </c>
      <c r="E291" s="235"/>
      <c r="F291" s="236"/>
      <c r="G291" s="35"/>
      <c r="H291" s="229">
        <f>G291/6*12</f>
        <v>0</v>
      </c>
      <c r="I291" s="36">
        <f>ROUND(H291*1.1445,-3)</f>
        <v>0</v>
      </c>
      <c r="J291" s="416"/>
    </row>
    <row r="292" spans="1:10" ht="12.75">
      <c r="A292" s="231"/>
      <c r="B292" s="232"/>
      <c r="C292" s="434"/>
      <c r="D292" s="234"/>
      <c r="E292" s="235"/>
      <c r="F292" s="236"/>
      <c r="G292" s="228"/>
      <c r="H292" s="229"/>
      <c r="I292" s="230"/>
      <c r="J292" s="416"/>
    </row>
    <row r="293" spans="1:10" ht="12.75">
      <c r="A293" s="231"/>
      <c r="B293" s="232" t="s">
        <v>121</v>
      </c>
      <c r="C293" s="434" t="s">
        <v>339</v>
      </c>
      <c r="D293" s="234"/>
      <c r="E293" s="235"/>
      <c r="F293" s="236"/>
      <c r="G293" s="228">
        <f>G294</f>
        <v>0</v>
      </c>
      <c r="H293" s="229">
        <f>H294</f>
        <v>0</v>
      </c>
      <c r="I293" s="230">
        <f>I294</f>
        <v>0</v>
      </c>
      <c r="J293" s="416"/>
    </row>
    <row r="294" spans="1:10" ht="12.75">
      <c r="A294" s="231" t="s">
        <v>441</v>
      </c>
      <c r="B294" s="232" t="s">
        <v>403</v>
      </c>
      <c r="C294" s="434" t="s">
        <v>452</v>
      </c>
      <c r="D294" s="234" t="s">
        <v>778</v>
      </c>
      <c r="E294" s="235"/>
      <c r="F294" s="236"/>
      <c r="G294" s="35"/>
      <c r="H294" s="229">
        <f>G294/6*12</f>
        <v>0</v>
      </c>
      <c r="I294" s="36">
        <f>ROUND(H294*1.1445,-3)</f>
        <v>0</v>
      </c>
      <c r="J294" s="416"/>
    </row>
    <row r="295" spans="1:10" ht="12.75">
      <c r="A295" s="244" t="s">
        <v>439</v>
      </c>
      <c r="B295" s="245" t="s">
        <v>401</v>
      </c>
      <c r="C295" s="438" t="s">
        <v>341</v>
      </c>
      <c r="D295" s="234" t="s">
        <v>779</v>
      </c>
      <c r="E295" s="235"/>
      <c r="F295" s="236"/>
      <c r="G295" s="37">
        <v>104092.5</v>
      </c>
      <c r="H295" s="229">
        <v>62000</v>
      </c>
      <c r="I295" s="38">
        <v>230000</v>
      </c>
      <c r="J295" s="416"/>
    </row>
    <row r="296" spans="1:10" ht="12.75">
      <c r="A296" s="231"/>
      <c r="B296" s="232"/>
      <c r="C296" s="434"/>
      <c r="D296" s="234"/>
      <c r="E296" s="235"/>
      <c r="F296" s="236"/>
      <c r="G296" s="368"/>
      <c r="H296" s="229"/>
      <c r="I296" s="47"/>
      <c r="J296" s="416"/>
    </row>
    <row r="297" spans="1:10" ht="12.75">
      <c r="A297" s="231"/>
      <c r="B297" s="232" t="s">
        <v>402</v>
      </c>
      <c r="C297" s="434" t="s">
        <v>340</v>
      </c>
      <c r="D297" s="234"/>
      <c r="E297" s="235"/>
      <c r="F297" s="236"/>
      <c r="G297" s="228">
        <f>G298</f>
        <v>0</v>
      </c>
      <c r="H297" s="229">
        <f>SUM(H298:H299)</f>
        <v>10000</v>
      </c>
      <c r="I297" s="230">
        <f>SUM(I298:I299)</f>
        <v>510000</v>
      </c>
      <c r="J297" s="416"/>
    </row>
    <row r="298" spans="1:10" ht="12.75">
      <c r="A298" s="248" t="s">
        <v>441</v>
      </c>
      <c r="B298" s="249" t="s">
        <v>847</v>
      </c>
      <c r="C298" s="441" t="s">
        <v>849</v>
      </c>
      <c r="D298" s="234" t="s">
        <v>795</v>
      </c>
      <c r="E298" s="235"/>
      <c r="F298" s="236"/>
      <c r="G298" s="41"/>
      <c r="H298" s="229">
        <f>G298/6*12</f>
        <v>0</v>
      </c>
      <c r="I298" s="42">
        <f>ROUND(H298*1.1445,-3)</f>
        <v>0</v>
      </c>
      <c r="J298" s="416"/>
    </row>
    <row r="299" spans="1:10" ht="12.75">
      <c r="A299" s="231"/>
      <c r="B299" s="232" t="s">
        <v>848</v>
      </c>
      <c r="C299" s="434" t="s">
        <v>340</v>
      </c>
      <c r="D299" s="234"/>
      <c r="E299" s="235"/>
      <c r="F299" s="236"/>
      <c r="G299" s="368">
        <f>SUM(G300:G301)</f>
        <v>0</v>
      </c>
      <c r="H299" s="368">
        <f>SUM(H300:H301)</f>
        <v>10000</v>
      </c>
      <c r="I299" s="368">
        <f>SUM(I300:I301)</f>
        <v>510000</v>
      </c>
      <c r="J299" s="416"/>
    </row>
    <row r="300" spans="1:10" ht="12.75">
      <c r="A300" s="252" t="s">
        <v>440</v>
      </c>
      <c r="B300" s="253" t="s">
        <v>984</v>
      </c>
      <c r="C300" s="439" t="s">
        <v>986</v>
      </c>
      <c r="D300" s="234" t="s">
        <v>778</v>
      </c>
      <c r="E300" s="235"/>
      <c r="F300" s="236"/>
      <c r="G300" s="45"/>
      <c r="H300" s="229">
        <f>G300/6*12</f>
        <v>0</v>
      </c>
      <c r="I300" s="46">
        <f>ROUND(H300*1.1445,-3)</f>
        <v>0</v>
      </c>
      <c r="J300" s="416"/>
    </row>
    <row r="301" spans="1:10" ht="12.75">
      <c r="A301" s="231" t="s">
        <v>441</v>
      </c>
      <c r="B301" s="232" t="s">
        <v>985</v>
      </c>
      <c r="C301" s="434" t="s">
        <v>987</v>
      </c>
      <c r="D301" s="234" t="s">
        <v>778</v>
      </c>
      <c r="E301" s="235"/>
      <c r="F301" s="236"/>
      <c r="G301" s="35"/>
      <c r="H301" s="229">
        <v>10000</v>
      </c>
      <c r="I301" s="36">
        <v>510000</v>
      </c>
      <c r="J301" s="416"/>
    </row>
    <row r="302" spans="1:10" ht="12.75">
      <c r="A302" s="231"/>
      <c r="B302" s="232"/>
      <c r="C302" s="434"/>
      <c r="D302" s="234"/>
      <c r="E302" s="235"/>
      <c r="F302" s="236"/>
      <c r="G302" s="228"/>
      <c r="H302" s="229"/>
      <c r="I302" s="230"/>
      <c r="J302" s="416"/>
    </row>
    <row r="303" spans="1:10" ht="12.75">
      <c r="A303" s="231"/>
      <c r="B303" s="232" t="s">
        <v>122</v>
      </c>
      <c r="C303" s="434" t="s">
        <v>343</v>
      </c>
      <c r="D303" s="234"/>
      <c r="E303" s="235"/>
      <c r="F303" s="236"/>
      <c r="G303" s="228">
        <f>G304+G305</f>
        <v>6070432.77</v>
      </c>
      <c r="H303" s="229">
        <f>H304+H305</f>
        <v>12140865.54</v>
      </c>
      <c r="I303" s="230">
        <f>I304+I305</f>
        <v>13895000</v>
      </c>
      <c r="J303" s="416"/>
    </row>
    <row r="304" spans="1:10" ht="12.75">
      <c r="A304" s="231" t="s">
        <v>441</v>
      </c>
      <c r="B304" s="232" t="s">
        <v>234</v>
      </c>
      <c r="C304" s="434" t="s">
        <v>561</v>
      </c>
      <c r="D304" s="234" t="s">
        <v>784</v>
      </c>
      <c r="E304" s="235" t="s">
        <v>785</v>
      </c>
      <c r="F304" s="236"/>
      <c r="G304" s="35">
        <v>5341562</v>
      </c>
      <c r="H304" s="229">
        <f>G304/6*12</f>
        <v>10683124</v>
      </c>
      <c r="I304" s="36">
        <f>ROUND(H304*1.1445,-3)</f>
        <v>12227000</v>
      </c>
      <c r="J304" s="416"/>
    </row>
    <row r="305" spans="1:10" ht="12.75">
      <c r="A305" s="231" t="s">
        <v>441</v>
      </c>
      <c r="B305" s="232" t="s">
        <v>235</v>
      </c>
      <c r="C305" s="434" t="s">
        <v>562</v>
      </c>
      <c r="D305" s="234" t="s">
        <v>786</v>
      </c>
      <c r="E305" s="235"/>
      <c r="F305" s="236"/>
      <c r="G305" s="35">
        <v>728870.77</v>
      </c>
      <c r="H305" s="229">
        <f>G305/6*12</f>
        <v>1457741.54</v>
      </c>
      <c r="I305" s="36">
        <f>ROUND(H305*1.1445,-3)</f>
        <v>1668000</v>
      </c>
      <c r="J305" s="416"/>
    </row>
    <row r="306" spans="1:10" ht="12.75">
      <c r="A306" s="231"/>
      <c r="B306" s="232"/>
      <c r="C306" s="434"/>
      <c r="D306" s="234"/>
      <c r="E306" s="235"/>
      <c r="F306" s="236"/>
      <c r="G306" s="228"/>
      <c r="H306" s="229"/>
      <c r="I306" s="230"/>
      <c r="J306" s="416"/>
    </row>
    <row r="307" spans="1:10" ht="12.75">
      <c r="A307" s="250" t="s">
        <v>434</v>
      </c>
      <c r="B307" s="251" t="s">
        <v>435</v>
      </c>
      <c r="C307" s="442" t="s">
        <v>437</v>
      </c>
      <c r="D307" s="234" t="s">
        <v>778</v>
      </c>
      <c r="E307" s="235"/>
      <c r="F307" s="236"/>
      <c r="G307" s="43"/>
      <c r="H307" s="229">
        <f>G307/6*12</f>
        <v>0</v>
      </c>
      <c r="I307" s="44">
        <f>ROUND(H307*1.1445,-3)</f>
        <v>0</v>
      </c>
      <c r="J307" s="416"/>
    </row>
    <row r="308" spans="1:10" ht="12.75">
      <c r="A308" s="250" t="s">
        <v>434</v>
      </c>
      <c r="B308" s="251" t="s">
        <v>427</v>
      </c>
      <c r="C308" s="442" t="s">
        <v>436</v>
      </c>
      <c r="D308" s="234" t="s">
        <v>778</v>
      </c>
      <c r="E308" s="235"/>
      <c r="F308" s="236"/>
      <c r="G308" s="43"/>
      <c r="H308" s="229">
        <f>G308/6*12</f>
        <v>0</v>
      </c>
      <c r="I308" s="44">
        <f>ROUND(H308*1.1445,-3)</f>
        <v>0</v>
      </c>
      <c r="J308" s="416"/>
    </row>
    <row r="309" spans="1:10" ht="12.75">
      <c r="A309" s="231"/>
      <c r="B309" s="232"/>
      <c r="C309" s="434"/>
      <c r="D309" s="234"/>
      <c r="E309" s="235"/>
      <c r="F309" s="236"/>
      <c r="G309" s="228"/>
      <c r="H309" s="229"/>
      <c r="I309" s="230"/>
      <c r="J309" s="416"/>
    </row>
    <row r="310" spans="1:10" ht="12.75">
      <c r="A310" s="231"/>
      <c r="B310" s="232" t="s">
        <v>123</v>
      </c>
      <c r="C310" s="434" t="s">
        <v>344</v>
      </c>
      <c r="D310" s="234"/>
      <c r="E310" s="235"/>
      <c r="F310" s="236"/>
      <c r="G310" s="228">
        <f>G311+G319+G329</f>
        <v>152285.9</v>
      </c>
      <c r="H310" s="229">
        <f>H311+H319+H329</f>
        <v>457000</v>
      </c>
      <c r="I310" s="230">
        <f>I311+I319+I329</f>
        <v>523000</v>
      </c>
      <c r="J310" s="416"/>
    </row>
    <row r="311" spans="1:10" ht="12.75">
      <c r="A311" s="231"/>
      <c r="B311" s="232" t="s">
        <v>124</v>
      </c>
      <c r="C311" s="434" t="s">
        <v>345</v>
      </c>
      <c r="D311" s="234"/>
      <c r="E311" s="235"/>
      <c r="F311" s="236"/>
      <c r="G311" s="228">
        <f>SUM(G312:G315)</f>
        <v>100000</v>
      </c>
      <c r="H311" s="229">
        <f>SUM(H312:H315)</f>
        <v>300000</v>
      </c>
      <c r="I311" s="230">
        <f>SUM(I312:I315)</f>
        <v>343000</v>
      </c>
      <c r="J311" s="416"/>
    </row>
    <row r="312" spans="1:10" ht="12.75">
      <c r="A312" s="244" t="s">
        <v>439</v>
      </c>
      <c r="B312" s="245" t="s">
        <v>125</v>
      </c>
      <c r="C312" s="438" t="s">
        <v>623</v>
      </c>
      <c r="D312" s="234" t="s">
        <v>789</v>
      </c>
      <c r="E312" s="235"/>
      <c r="F312" s="236"/>
      <c r="G312" s="37"/>
      <c r="H312" s="229">
        <f>G312/6*12</f>
        <v>0</v>
      </c>
      <c r="I312" s="38">
        <f>ROUND(H312*1.1445,-3)</f>
        <v>0</v>
      </c>
      <c r="J312" s="416"/>
    </row>
    <row r="313" spans="1:10" ht="12.75">
      <c r="A313" s="231" t="s">
        <v>468</v>
      </c>
      <c r="B313" s="232" t="s">
        <v>126</v>
      </c>
      <c r="C313" s="434" t="s">
        <v>346</v>
      </c>
      <c r="D313" s="234" t="s">
        <v>788</v>
      </c>
      <c r="E313" s="235"/>
      <c r="F313" s="236"/>
      <c r="G313" s="35"/>
      <c r="H313" s="229">
        <v>200000</v>
      </c>
      <c r="I313" s="36">
        <f>ROUND(H313*1.1445,-3)</f>
        <v>229000</v>
      </c>
      <c r="J313" s="416"/>
    </row>
    <row r="314" spans="1:10" ht="12.75">
      <c r="A314" s="248" t="s">
        <v>438</v>
      </c>
      <c r="B314" s="249" t="s">
        <v>127</v>
      </c>
      <c r="C314" s="441" t="s">
        <v>347</v>
      </c>
      <c r="D314" s="234" t="s">
        <v>790</v>
      </c>
      <c r="E314" s="235"/>
      <c r="F314" s="236"/>
      <c r="G314" s="41"/>
      <c r="H314" s="229">
        <f>G314/6*12</f>
        <v>0</v>
      </c>
      <c r="I314" s="42">
        <f>ROUND(H314*1.1445,-3)</f>
        <v>0</v>
      </c>
      <c r="J314" s="416"/>
    </row>
    <row r="315" spans="1:10" ht="12.75">
      <c r="A315" s="231"/>
      <c r="B315" s="232" t="s">
        <v>240</v>
      </c>
      <c r="C315" s="434" t="s">
        <v>241</v>
      </c>
      <c r="D315" s="234"/>
      <c r="E315" s="235"/>
      <c r="F315" s="236"/>
      <c r="G315" s="228">
        <f>SUM(G316:G317)</f>
        <v>100000</v>
      </c>
      <c r="H315" s="229">
        <f>H316+H317</f>
        <v>100000</v>
      </c>
      <c r="I315" s="230">
        <f>I316+I317</f>
        <v>114000</v>
      </c>
      <c r="J315" s="416"/>
    </row>
    <row r="316" spans="1:10" ht="12.75">
      <c r="A316" s="250" t="s">
        <v>434</v>
      </c>
      <c r="B316" s="251" t="s">
        <v>721</v>
      </c>
      <c r="C316" s="442" t="s">
        <v>724</v>
      </c>
      <c r="D316" s="234" t="s">
        <v>790</v>
      </c>
      <c r="E316" s="235"/>
      <c r="F316" s="236"/>
      <c r="G316" s="43"/>
      <c r="H316" s="229">
        <f>G316/6*12</f>
        <v>0</v>
      </c>
      <c r="I316" s="44">
        <f>ROUND(H316*1.1445,-3)</f>
        <v>0</v>
      </c>
      <c r="J316" s="416"/>
    </row>
    <row r="317" spans="1:10" ht="12.75">
      <c r="A317" s="231" t="s">
        <v>441</v>
      </c>
      <c r="B317" s="232" t="s">
        <v>722</v>
      </c>
      <c r="C317" s="434" t="s">
        <v>723</v>
      </c>
      <c r="D317" s="234" t="s">
        <v>791</v>
      </c>
      <c r="E317" s="235"/>
      <c r="F317" s="236"/>
      <c r="G317" s="35">
        <v>100000</v>
      </c>
      <c r="H317" s="229">
        <v>100000</v>
      </c>
      <c r="I317" s="36">
        <f>ROUND(H317*1.1445,-3)</f>
        <v>114000</v>
      </c>
      <c r="J317" s="416"/>
    </row>
    <row r="318" spans="1:10" ht="12.75">
      <c r="A318" s="231"/>
      <c r="B318" s="232"/>
      <c r="C318" s="434"/>
      <c r="D318" s="234"/>
      <c r="E318" s="235"/>
      <c r="F318" s="236"/>
      <c r="G318" s="228"/>
      <c r="H318" s="229"/>
      <c r="I318" s="230"/>
      <c r="J318" s="416"/>
    </row>
    <row r="319" spans="1:10" ht="12.75">
      <c r="A319" s="231"/>
      <c r="B319" s="232" t="s">
        <v>128</v>
      </c>
      <c r="C319" s="434" t="s">
        <v>348</v>
      </c>
      <c r="D319" s="234"/>
      <c r="E319" s="235"/>
      <c r="F319" s="236"/>
      <c r="G319" s="228">
        <f>G320+G322+G324</f>
        <v>52285.9</v>
      </c>
      <c r="H319" s="229">
        <f>H320+H322+H324</f>
        <v>157000</v>
      </c>
      <c r="I319" s="230">
        <f>I320+I322+I324</f>
        <v>180000</v>
      </c>
      <c r="J319" s="416"/>
    </row>
    <row r="320" spans="1:10" ht="12.75">
      <c r="A320" s="244" t="s">
        <v>439</v>
      </c>
      <c r="B320" s="245" t="s">
        <v>157</v>
      </c>
      <c r="C320" s="438" t="s">
        <v>349</v>
      </c>
      <c r="D320" s="234" t="s">
        <v>789</v>
      </c>
      <c r="E320" s="235"/>
      <c r="F320" s="236"/>
      <c r="G320" s="37"/>
      <c r="H320" s="229">
        <f>G320/6*12</f>
        <v>0</v>
      </c>
      <c r="I320" s="38">
        <f>ROUND(H320*1.1445,-3)</f>
        <v>0</v>
      </c>
      <c r="J320" s="416"/>
    </row>
    <row r="321" spans="1:10" ht="12.75">
      <c r="A321" s="231"/>
      <c r="B321" s="232"/>
      <c r="C321" s="434"/>
      <c r="D321" s="234"/>
      <c r="E321" s="235"/>
      <c r="F321" s="236"/>
      <c r="G321" s="228"/>
      <c r="H321" s="229"/>
      <c r="I321" s="230"/>
      <c r="J321" s="416"/>
    </row>
    <row r="322" spans="1:10" ht="12.75">
      <c r="A322" s="231"/>
      <c r="B322" s="232" t="s">
        <v>129</v>
      </c>
      <c r="C322" s="434" t="s">
        <v>350</v>
      </c>
      <c r="D322" s="234"/>
      <c r="E322" s="235"/>
      <c r="F322" s="236"/>
      <c r="G322" s="228">
        <f>G323</f>
        <v>52285.9</v>
      </c>
      <c r="H322" s="229">
        <f>H323</f>
        <v>157000</v>
      </c>
      <c r="I322" s="230">
        <f>I323</f>
        <v>180000</v>
      </c>
      <c r="J322" s="416"/>
    </row>
    <row r="323" spans="1:10" ht="12.75">
      <c r="A323" s="231" t="s">
        <v>468</v>
      </c>
      <c r="B323" s="232" t="s">
        <v>158</v>
      </c>
      <c r="C323" s="434" t="s">
        <v>351</v>
      </c>
      <c r="D323" s="234" t="s">
        <v>788</v>
      </c>
      <c r="E323" s="235"/>
      <c r="F323" s="236"/>
      <c r="G323" s="35">
        <v>52285.9</v>
      </c>
      <c r="H323" s="229">
        <v>157000</v>
      </c>
      <c r="I323" s="36">
        <f>ROUND(H323*1.1445,-3)</f>
        <v>180000</v>
      </c>
      <c r="J323" s="416"/>
    </row>
    <row r="324" spans="1:10" ht="12.75">
      <c r="A324" s="231"/>
      <c r="B324" s="232" t="s">
        <v>159</v>
      </c>
      <c r="C324" s="434" t="s">
        <v>352</v>
      </c>
      <c r="D324" s="234"/>
      <c r="E324" s="235"/>
      <c r="F324" s="236"/>
      <c r="G324" s="228">
        <f>SUM(G325:G327)</f>
        <v>0</v>
      </c>
      <c r="H324" s="229">
        <f>SUM(H325:H327)</f>
        <v>0</v>
      </c>
      <c r="I324" s="230">
        <f>SUM(I325:I327)</f>
        <v>0</v>
      </c>
      <c r="J324" s="416"/>
    </row>
    <row r="325" spans="1:10" ht="12.75">
      <c r="A325" s="248" t="s">
        <v>438</v>
      </c>
      <c r="B325" s="249" t="s">
        <v>626</v>
      </c>
      <c r="C325" s="441" t="s">
        <v>712</v>
      </c>
      <c r="D325" s="234" t="s">
        <v>790</v>
      </c>
      <c r="E325" s="235"/>
      <c r="F325" s="236"/>
      <c r="G325" s="41"/>
      <c r="H325" s="229">
        <f>G325/6*12</f>
        <v>0</v>
      </c>
      <c r="I325" s="42">
        <f>ROUND(H325*1.1445,-3)</f>
        <v>0</v>
      </c>
      <c r="J325" s="416"/>
    </row>
    <row r="326" spans="1:10" ht="12.75">
      <c r="A326" s="250" t="s">
        <v>434</v>
      </c>
      <c r="B326" s="251" t="s">
        <v>719</v>
      </c>
      <c r="C326" s="442" t="s">
        <v>720</v>
      </c>
      <c r="D326" s="234" t="s">
        <v>790</v>
      </c>
      <c r="E326" s="235"/>
      <c r="F326" s="236"/>
      <c r="G326" s="43"/>
      <c r="H326" s="229">
        <f>G326/6*12</f>
        <v>0</v>
      </c>
      <c r="I326" s="44">
        <f>ROUND(H326*1.1445,-3)</f>
        <v>0</v>
      </c>
      <c r="J326" s="416"/>
    </row>
    <row r="327" spans="1:10" ht="12.75">
      <c r="A327" s="231" t="s">
        <v>441</v>
      </c>
      <c r="B327" s="232" t="s">
        <v>711</v>
      </c>
      <c r="C327" s="434" t="s">
        <v>352</v>
      </c>
      <c r="D327" s="234" t="s">
        <v>791</v>
      </c>
      <c r="E327" s="235"/>
      <c r="F327" s="236"/>
      <c r="G327" s="35"/>
      <c r="H327" s="229">
        <f>G327/6*12</f>
        <v>0</v>
      </c>
      <c r="I327" s="36">
        <f>ROUND(H327*1.1445,-3)</f>
        <v>0</v>
      </c>
      <c r="J327" s="416"/>
    </row>
    <row r="328" spans="1:10" ht="12.75">
      <c r="A328" s="231"/>
      <c r="B328" s="232"/>
      <c r="C328" s="434"/>
      <c r="D328" s="234"/>
      <c r="E328" s="235"/>
      <c r="F328" s="236"/>
      <c r="G328" s="228"/>
      <c r="H328" s="229"/>
      <c r="I328" s="230"/>
      <c r="J328" s="416"/>
    </row>
    <row r="329" spans="1:10" ht="12.75">
      <c r="A329" s="231" t="s">
        <v>441</v>
      </c>
      <c r="B329" s="232" t="s">
        <v>160</v>
      </c>
      <c r="C329" s="434" t="s">
        <v>353</v>
      </c>
      <c r="D329" s="234" t="s">
        <v>791</v>
      </c>
      <c r="E329" s="235"/>
      <c r="F329" s="236"/>
      <c r="G329" s="35"/>
      <c r="H329" s="229">
        <f>G329/6*12</f>
        <v>0</v>
      </c>
      <c r="I329" s="36">
        <f>ROUND(H329*1.1445,-3)</f>
        <v>0</v>
      </c>
      <c r="J329" s="416"/>
    </row>
    <row r="330" spans="1:10" ht="12.75">
      <c r="A330" s="231"/>
      <c r="B330" s="232"/>
      <c r="C330" s="434"/>
      <c r="D330" s="234"/>
      <c r="E330" s="235"/>
      <c r="F330" s="236"/>
      <c r="G330" s="228"/>
      <c r="H330" s="229"/>
      <c r="I330" s="230"/>
      <c r="J330" s="416"/>
    </row>
    <row r="331" spans="1:10" ht="12.75">
      <c r="A331" s="231"/>
      <c r="B331" s="232" t="s">
        <v>130</v>
      </c>
      <c r="C331" s="434" t="s">
        <v>354</v>
      </c>
      <c r="D331" s="234"/>
      <c r="E331" s="235"/>
      <c r="F331" s="236"/>
      <c r="G331" s="228">
        <f>G332+G371+G394+G409+G407</f>
        <v>116207.75</v>
      </c>
      <c r="H331" s="229">
        <f>H332+H371+H394+H409+H407</f>
        <v>487000</v>
      </c>
      <c r="I331" s="230">
        <f>I332+I371+I394+I409+I407</f>
        <v>557000</v>
      </c>
      <c r="J331" s="416"/>
    </row>
    <row r="332" spans="1:10" ht="12.75">
      <c r="A332" s="231"/>
      <c r="B332" s="232" t="s">
        <v>131</v>
      </c>
      <c r="C332" s="434" t="s">
        <v>355</v>
      </c>
      <c r="D332" s="234"/>
      <c r="E332" s="235"/>
      <c r="F332" s="236"/>
      <c r="G332" s="228">
        <f>SUM(G333,G341,G349,G364,G356,G360)</f>
        <v>1245.9</v>
      </c>
      <c r="H332" s="229">
        <f>SUM(H333,H341,H349,H364,H356,H360)</f>
        <v>24000</v>
      </c>
      <c r="I332" s="230">
        <f>SUM(I333,I341,I349,I364,I356,I360)</f>
        <v>26000</v>
      </c>
      <c r="J332" s="416"/>
    </row>
    <row r="333" spans="1:10" ht="12.75">
      <c r="A333" s="231"/>
      <c r="B333" s="232" t="s">
        <v>132</v>
      </c>
      <c r="C333" s="434" t="s">
        <v>356</v>
      </c>
      <c r="D333" s="234"/>
      <c r="E333" s="235"/>
      <c r="F333" s="236"/>
      <c r="G333" s="228">
        <f>SUM(G334:G337)</f>
        <v>0</v>
      </c>
      <c r="H333" s="229">
        <f>SUM(H334:H337)</f>
        <v>3000</v>
      </c>
      <c r="I333" s="230">
        <f>SUM(I334:I337)</f>
        <v>3000</v>
      </c>
      <c r="J333" s="416"/>
    </row>
    <row r="334" spans="1:10" ht="12.75">
      <c r="A334" s="231" t="s">
        <v>441</v>
      </c>
      <c r="B334" s="232" t="s">
        <v>161</v>
      </c>
      <c r="C334" s="434" t="s">
        <v>357</v>
      </c>
      <c r="D334" s="234" t="s">
        <v>778</v>
      </c>
      <c r="E334" s="235" t="s">
        <v>782</v>
      </c>
      <c r="F334" s="236" t="s">
        <v>783</v>
      </c>
      <c r="G334" s="35"/>
      <c r="H334" s="229">
        <v>1000</v>
      </c>
      <c r="I334" s="36">
        <f>ROUND(H334*1.1445,-3)</f>
        <v>1000</v>
      </c>
      <c r="J334" s="416"/>
    </row>
    <row r="335" spans="1:10" ht="12.75">
      <c r="A335" s="231" t="s">
        <v>441</v>
      </c>
      <c r="B335" s="232" t="s">
        <v>162</v>
      </c>
      <c r="C335" s="434" t="s">
        <v>358</v>
      </c>
      <c r="D335" s="234" t="s">
        <v>778</v>
      </c>
      <c r="E335" s="235" t="s">
        <v>782</v>
      </c>
      <c r="F335" s="236" t="s">
        <v>783</v>
      </c>
      <c r="G335" s="35"/>
      <c r="H335" s="229"/>
      <c r="I335" s="36">
        <f>ROUND(H335*1.1445,-3)</f>
        <v>0</v>
      </c>
      <c r="J335" s="416"/>
    </row>
    <row r="336" spans="1:10" ht="12.75">
      <c r="A336" s="231" t="s">
        <v>441</v>
      </c>
      <c r="B336" s="232" t="s">
        <v>163</v>
      </c>
      <c r="C336" s="434" t="s">
        <v>359</v>
      </c>
      <c r="D336" s="234" t="s">
        <v>778</v>
      </c>
      <c r="E336" s="235" t="s">
        <v>782</v>
      </c>
      <c r="F336" s="236" t="s">
        <v>783</v>
      </c>
      <c r="G336" s="35"/>
      <c r="H336" s="229">
        <v>1000</v>
      </c>
      <c r="I336" s="36">
        <f>ROUND(H336*1.1445,-3)</f>
        <v>1000</v>
      </c>
      <c r="J336" s="416"/>
    </row>
    <row r="337" spans="1:10" ht="12.75">
      <c r="A337" s="231" t="s">
        <v>441</v>
      </c>
      <c r="B337" s="232" t="s">
        <v>164</v>
      </c>
      <c r="C337" s="434" t="s">
        <v>360</v>
      </c>
      <c r="D337" s="234"/>
      <c r="E337" s="235"/>
      <c r="F337" s="236"/>
      <c r="G337" s="47">
        <f>SUM(G338:G339)</f>
        <v>0</v>
      </c>
      <c r="H337" s="47">
        <f>SUM(H338:H339)</f>
        <v>1000</v>
      </c>
      <c r="I337" s="47">
        <f>SUM(I338:I339)</f>
        <v>1000</v>
      </c>
      <c r="J337" s="416"/>
    </row>
    <row r="338" spans="1:10" ht="12.75">
      <c r="A338" s="252" t="s">
        <v>440</v>
      </c>
      <c r="B338" s="253" t="s">
        <v>980</v>
      </c>
      <c r="C338" s="439" t="s">
        <v>982</v>
      </c>
      <c r="D338" s="234" t="s">
        <v>778</v>
      </c>
      <c r="E338" s="235"/>
      <c r="F338" s="236"/>
      <c r="G338" s="45"/>
      <c r="H338" s="229">
        <f>G338/6*12</f>
        <v>0</v>
      </c>
      <c r="I338" s="46">
        <f>ROUND(H338*1.1445,-3)</f>
        <v>0</v>
      </c>
      <c r="J338" s="416"/>
    </row>
    <row r="339" spans="1:10" ht="12.75">
      <c r="A339" s="231" t="s">
        <v>441</v>
      </c>
      <c r="B339" s="232" t="s">
        <v>981</v>
      </c>
      <c r="C339" s="434" t="s">
        <v>983</v>
      </c>
      <c r="D339" s="234" t="s">
        <v>778</v>
      </c>
      <c r="E339" s="235"/>
      <c r="F339" s="236"/>
      <c r="G339" s="35"/>
      <c r="H339" s="229">
        <v>1000</v>
      </c>
      <c r="I339" s="36">
        <f>ROUND(H339*1.1445,-3)</f>
        <v>1000</v>
      </c>
      <c r="J339" s="416"/>
    </row>
    <row r="340" spans="1:10" ht="12.75">
      <c r="A340" s="231"/>
      <c r="B340" s="232"/>
      <c r="C340" s="434"/>
      <c r="D340" s="234"/>
      <c r="E340" s="235"/>
      <c r="F340" s="236"/>
      <c r="G340" s="228"/>
      <c r="H340" s="229"/>
      <c r="I340" s="230"/>
      <c r="J340" s="416"/>
    </row>
    <row r="341" spans="1:10" ht="12.75">
      <c r="A341" s="231"/>
      <c r="B341" s="232" t="s">
        <v>656</v>
      </c>
      <c r="C341" s="434" t="s">
        <v>655</v>
      </c>
      <c r="D341" s="234"/>
      <c r="E341" s="235"/>
      <c r="F341" s="236"/>
      <c r="G341" s="228">
        <f>G342</f>
        <v>1245.9</v>
      </c>
      <c r="H341" s="229">
        <f>H342</f>
        <v>20000</v>
      </c>
      <c r="I341" s="230">
        <f>I342</f>
        <v>22000</v>
      </c>
      <c r="J341" s="416"/>
    </row>
    <row r="342" spans="1:256" s="254" customFormat="1" ht="12.75">
      <c r="A342" s="231"/>
      <c r="B342" s="232" t="s">
        <v>657</v>
      </c>
      <c r="C342" s="434" t="s">
        <v>664</v>
      </c>
      <c r="D342" s="234"/>
      <c r="E342" s="235"/>
      <c r="F342" s="236"/>
      <c r="G342" s="228">
        <f>SUM(G343:G346)</f>
        <v>1245.9</v>
      </c>
      <c r="H342" s="229">
        <f>SUM(H343:H346)</f>
        <v>20000</v>
      </c>
      <c r="I342" s="230">
        <f>SUM(I343:I346)</f>
        <v>22000</v>
      </c>
      <c r="J342" s="416"/>
      <c r="K342" s="204"/>
      <c r="L342" s="204"/>
      <c r="M342" s="204"/>
      <c r="N342" s="204"/>
      <c r="O342" s="204"/>
      <c r="P342" s="206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  <c r="AA342" s="204"/>
      <c r="AB342" s="204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4"/>
      <c r="BA342" s="204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  <c r="BZ342" s="204"/>
      <c r="CA342" s="204"/>
      <c r="CB342" s="204"/>
      <c r="CC342" s="204"/>
      <c r="CD342" s="204"/>
      <c r="CE342" s="204"/>
      <c r="CF342" s="204"/>
      <c r="CG342" s="204"/>
      <c r="CH342" s="204"/>
      <c r="CI342" s="204"/>
      <c r="CJ342" s="204"/>
      <c r="CK342" s="204"/>
      <c r="CL342" s="204"/>
      <c r="CM342" s="204"/>
      <c r="CN342" s="204"/>
      <c r="CO342" s="204"/>
      <c r="CP342" s="204"/>
      <c r="CQ342" s="204"/>
      <c r="CR342" s="204"/>
      <c r="CS342" s="204"/>
      <c r="CT342" s="204"/>
      <c r="CU342" s="204"/>
      <c r="CV342" s="204"/>
      <c r="CW342" s="204"/>
      <c r="CX342" s="204"/>
      <c r="CY342" s="204"/>
      <c r="CZ342" s="204"/>
      <c r="DA342" s="204"/>
      <c r="DB342" s="204"/>
      <c r="DC342" s="204"/>
      <c r="DD342" s="204"/>
      <c r="DE342" s="204"/>
      <c r="DF342" s="204"/>
      <c r="DG342" s="204"/>
      <c r="DH342" s="204"/>
      <c r="DI342" s="204"/>
      <c r="DJ342" s="204"/>
      <c r="DK342" s="204"/>
      <c r="DL342" s="204"/>
      <c r="DM342" s="204"/>
      <c r="DN342" s="204"/>
      <c r="DO342" s="204"/>
      <c r="DP342" s="204"/>
      <c r="DQ342" s="204"/>
      <c r="DR342" s="204"/>
      <c r="DS342" s="204"/>
      <c r="DT342" s="204"/>
      <c r="DU342" s="204"/>
      <c r="DV342" s="204"/>
      <c r="DW342" s="204"/>
      <c r="DX342" s="204"/>
      <c r="DY342" s="204"/>
      <c r="DZ342" s="204"/>
      <c r="EA342" s="204"/>
      <c r="EB342" s="204"/>
      <c r="EC342" s="204"/>
      <c r="ED342" s="204"/>
      <c r="EE342" s="204"/>
      <c r="EF342" s="204"/>
      <c r="EG342" s="204"/>
      <c r="EH342" s="204"/>
      <c r="EI342" s="204"/>
      <c r="EJ342" s="204"/>
      <c r="EK342" s="204"/>
      <c r="EL342" s="204"/>
      <c r="EM342" s="204"/>
      <c r="EN342" s="204"/>
      <c r="EO342" s="204"/>
      <c r="EP342" s="204"/>
      <c r="EQ342" s="204"/>
      <c r="ER342" s="204"/>
      <c r="ES342" s="204"/>
      <c r="ET342" s="204"/>
      <c r="EU342" s="204"/>
      <c r="EV342" s="204"/>
      <c r="EW342" s="204"/>
      <c r="EX342" s="204"/>
      <c r="EY342" s="204"/>
      <c r="EZ342" s="204"/>
      <c r="FA342" s="204"/>
      <c r="FB342" s="204"/>
      <c r="FC342" s="204"/>
      <c r="FD342" s="204"/>
      <c r="FE342" s="204"/>
      <c r="FF342" s="204"/>
      <c r="FG342" s="204"/>
      <c r="FH342" s="204"/>
      <c r="FI342" s="204"/>
      <c r="FJ342" s="204"/>
      <c r="FK342" s="204"/>
      <c r="FL342" s="204"/>
      <c r="FM342" s="204"/>
      <c r="FN342" s="204"/>
      <c r="FO342" s="204"/>
      <c r="FP342" s="204"/>
      <c r="FQ342" s="204"/>
      <c r="FR342" s="204"/>
      <c r="FS342" s="204"/>
      <c r="FT342" s="204"/>
      <c r="FU342" s="204"/>
      <c r="FV342" s="204"/>
      <c r="FW342" s="204"/>
      <c r="FX342" s="204"/>
      <c r="FY342" s="204"/>
      <c r="FZ342" s="204"/>
      <c r="GA342" s="204"/>
      <c r="GB342" s="204"/>
      <c r="GC342" s="204"/>
      <c r="GD342" s="204"/>
      <c r="GE342" s="204"/>
      <c r="GF342" s="204"/>
      <c r="GG342" s="204"/>
      <c r="GH342" s="204"/>
      <c r="GI342" s="204"/>
      <c r="GJ342" s="204"/>
      <c r="GK342" s="204"/>
      <c r="GL342" s="204"/>
      <c r="GM342" s="204"/>
      <c r="GN342" s="204"/>
      <c r="GO342" s="204"/>
      <c r="GP342" s="204"/>
      <c r="GQ342" s="204"/>
      <c r="GR342" s="204"/>
      <c r="GS342" s="204"/>
      <c r="GT342" s="204"/>
      <c r="GU342" s="204"/>
      <c r="GV342" s="204"/>
      <c r="GW342" s="204"/>
      <c r="GX342" s="204"/>
      <c r="GY342" s="204"/>
      <c r="GZ342" s="204"/>
      <c r="HA342" s="204"/>
      <c r="HB342" s="204"/>
      <c r="HC342" s="204"/>
      <c r="HD342" s="204"/>
      <c r="HE342" s="204"/>
      <c r="HF342" s="204"/>
      <c r="HG342" s="204"/>
      <c r="HH342" s="204"/>
      <c r="HI342" s="204"/>
      <c r="HJ342" s="204"/>
      <c r="HK342" s="204"/>
      <c r="HL342" s="204"/>
      <c r="HM342" s="204"/>
      <c r="HN342" s="204"/>
      <c r="HO342" s="204"/>
      <c r="HP342" s="204"/>
      <c r="HQ342" s="204"/>
      <c r="HR342" s="204"/>
      <c r="HS342" s="204"/>
      <c r="HT342" s="204"/>
      <c r="HU342" s="204"/>
      <c r="HV342" s="204"/>
      <c r="HW342" s="204"/>
      <c r="HX342" s="204"/>
      <c r="HY342" s="204"/>
      <c r="HZ342" s="204"/>
      <c r="IA342" s="204"/>
      <c r="IB342" s="204"/>
      <c r="IC342" s="204"/>
      <c r="ID342" s="204"/>
      <c r="IE342" s="204"/>
      <c r="IF342" s="204"/>
      <c r="IG342" s="204"/>
      <c r="IH342" s="204"/>
      <c r="II342" s="204"/>
      <c r="IJ342" s="204"/>
      <c r="IK342" s="204"/>
      <c r="IL342" s="204"/>
      <c r="IM342" s="204"/>
      <c r="IN342" s="204"/>
      <c r="IO342" s="204"/>
      <c r="IP342" s="204"/>
      <c r="IQ342" s="204"/>
      <c r="IR342" s="204"/>
      <c r="IS342" s="204"/>
      <c r="IT342" s="204"/>
      <c r="IU342" s="204"/>
      <c r="IV342" s="204"/>
    </row>
    <row r="343" spans="1:10" ht="12.75">
      <c r="A343" s="255" t="s">
        <v>442</v>
      </c>
      <c r="B343" s="256" t="s">
        <v>658</v>
      </c>
      <c r="C343" s="443" t="s">
        <v>661</v>
      </c>
      <c r="D343" s="234" t="s">
        <v>796</v>
      </c>
      <c r="E343" s="235"/>
      <c r="F343" s="236"/>
      <c r="G343" s="200">
        <v>1245.9</v>
      </c>
      <c r="H343" s="229">
        <v>10000</v>
      </c>
      <c r="I343" s="201">
        <f>ROUND(H343*1.1445,-3)</f>
        <v>11000</v>
      </c>
      <c r="J343" s="416"/>
    </row>
    <row r="344" spans="1:10" ht="12.75">
      <c r="A344" s="255" t="s">
        <v>442</v>
      </c>
      <c r="B344" s="256" t="s">
        <v>659</v>
      </c>
      <c r="C344" s="443" t="s">
        <v>662</v>
      </c>
      <c r="D344" s="234" t="s">
        <v>796</v>
      </c>
      <c r="E344" s="235"/>
      <c r="F344" s="236"/>
      <c r="G344" s="200"/>
      <c r="H344" s="229">
        <v>10000</v>
      </c>
      <c r="I344" s="201">
        <f>ROUND(H344*1.1445,-3)</f>
        <v>11000</v>
      </c>
      <c r="J344" s="416"/>
    </row>
    <row r="345" spans="1:10" ht="12.75">
      <c r="A345" s="255" t="s">
        <v>442</v>
      </c>
      <c r="B345" s="256" t="s">
        <v>660</v>
      </c>
      <c r="C345" s="443" t="s">
        <v>663</v>
      </c>
      <c r="D345" s="234" t="s">
        <v>796</v>
      </c>
      <c r="E345" s="235"/>
      <c r="F345" s="236"/>
      <c r="G345" s="200"/>
      <c r="H345" s="229">
        <f>G345/6*12</f>
        <v>0</v>
      </c>
      <c r="I345" s="201">
        <f>ROUND(H345*1.1445,-3)</f>
        <v>0</v>
      </c>
      <c r="J345" s="416"/>
    </row>
    <row r="346" spans="1:256" s="254" customFormat="1" ht="12.75">
      <c r="A346" s="231"/>
      <c r="B346" s="376" t="s">
        <v>882</v>
      </c>
      <c r="C346" s="550" t="s">
        <v>884</v>
      </c>
      <c r="D346" s="234"/>
      <c r="E346" s="235"/>
      <c r="F346" s="236"/>
      <c r="G346" s="228">
        <f>G347</f>
        <v>0</v>
      </c>
      <c r="H346" s="229">
        <f>H347</f>
        <v>0</v>
      </c>
      <c r="I346" s="230">
        <f>I347</f>
        <v>0</v>
      </c>
      <c r="J346" s="416"/>
      <c r="K346" s="204"/>
      <c r="L346" s="204"/>
      <c r="M346" s="204"/>
      <c r="N346" s="204"/>
      <c r="O346" s="204"/>
      <c r="P346" s="206"/>
      <c r="Q346" s="204"/>
      <c r="R346" s="204"/>
      <c r="S346" s="204"/>
      <c r="T346" s="204"/>
      <c r="U346" s="204"/>
      <c r="V346" s="204"/>
      <c r="W346" s="204"/>
      <c r="X346" s="204"/>
      <c r="Y346" s="204"/>
      <c r="Z346" s="204"/>
      <c r="AA346" s="204"/>
      <c r="AB346" s="204"/>
      <c r="AC346" s="204"/>
      <c r="AD346" s="204"/>
      <c r="AE346" s="204"/>
      <c r="AF346" s="204"/>
      <c r="AG346" s="204"/>
      <c r="AH346" s="204"/>
      <c r="AI346" s="204"/>
      <c r="AJ346" s="204"/>
      <c r="AK346" s="204"/>
      <c r="AL346" s="204"/>
      <c r="AM346" s="204"/>
      <c r="AN346" s="204"/>
      <c r="AO346" s="204"/>
      <c r="AP346" s="204"/>
      <c r="AQ346" s="204"/>
      <c r="AR346" s="204"/>
      <c r="AS346" s="204"/>
      <c r="AT346" s="204"/>
      <c r="AU346" s="204"/>
      <c r="AV346" s="204"/>
      <c r="AW346" s="204"/>
      <c r="AX346" s="204"/>
      <c r="AY346" s="204"/>
      <c r="AZ346" s="204"/>
      <c r="BA346" s="204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  <c r="BZ346" s="204"/>
      <c r="CA346" s="204"/>
      <c r="CB346" s="204"/>
      <c r="CC346" s="204"/>
      <c r="CD346" s="204"/>
      <c r="CE346" s="204"/>
      <c r="CF346" s="204"/>
      <c r="CG346" s="204"/>
      <c r="CH346" s="204"/>
      <c r="CI346" s="204"/>
      <c r="CJ346" s="204"/>
      <c r="CK346" s="204"/>
      <c r="CL346" s="204"/>
      <c r="CM346" s="204"/>
      <c r="CN346" s="204"/>
      <c r="CO346" s="204"/>
      <c r="CP346" s="204"/>
      <c r="CQ346" s="204"/>
      <c r="CR346" s="204"/>
      <c r="CS346" s="204"/>
      <c r="CT346" s="204"/>
      <c r="CU346" s="204"/>
      <c r="CV346" s="204"/>
      <c r="CW346" s="204"/>
      <c r="CX346" s="204"/>
      <c r="CY346" s="204"/>
      <c r="CZ346" s="204"/>
      <c r="DA346" s="204"/>
      <c r="DB346" s="204"/>
      <c r="DC346" s="204"/>
      <c r="DD346" s="204"/>
      <c r="DE346" s="204"/>
      <c r="DF346" s="204"/>
      <c r="DG346" s="204"/>
      <c r="DH346" s="204"/>
      <c r="DI346" s="204"/>
      <c r="DJ346" s="204"/>
      <c r="DK346" s="204"/>
      <c r="DL346" s="204"/>
      <c r="DM346" s="204"/>
      <c r="DN346" s="204"/>
      <c r="DO346" s="204"/>
      <c r="DP346" s="204"/>
      <c r="DQ346" s="204"/>
      <c r="DR346" s="204"/>
      <c r="DS346" s="204"/>
      <c r="DT346" s="204"/>
      <c r="DU346" s="204"/>
      <c r="DV346" s="204"/>
      <c r="DW346" s="204"/>
      <c r="DX346" s="204"/>
      <c r="DY346" s="204"/>
      <c r="DZ346" s="204"/>
      <c r="EA346" s="204"/>
      <c r="EB346" s="204"/>
      <c r="EC346" s="204"/>
      <c r="ED346" s="204"/>
      <c r="EE346" s="204"/>
      <c r="EF346" s="204"/>
      <c r="EG346" s="204"/>
      <c r="EH346" s="204"/>
      <c r="EI346" s="204"/>
      <c r="EJ346" s="204"/>
      <c r="EK346" s="204"/>
      <c r="EL346" s="204"/>
      <c r="EM346" s="204"/>
      <c r="EN346" s="204"/>
      <c r="EO346" s="204"/>
      <c r="EP346" s="204"/>
      <c r="EQ346" s="204"/>
      <c r="ER346" s="204"/>
      <c r="ES346" s="204"/>
      <c r="ET346" s="204"/>
      <c r="EU346" s="204"/>
      <c r="EV346" s="204"/>
      <c r="EW346" s="204"/>
      <c r="EX346" s="204"/>
      <c r="EY346" s="204"/>
      <c r="EZ346" s="204"/>
      <c r="FA346" s="204"/>
      <c r="FB346" s="204"/>
      <c r="FC346" s="204"/>
      <c r="FD346" s="204"/>
      <c r="FE346" s="204"/>
      <c r="FF346" s="204"/>
      <c r="FG346" s="204"/>
      <c r="FH346" s="204"/>
      <c r="FI346" s="204"/>
      <c r="FJ346" s="204"/>
      <c r="FK346" s="204"/>
      <c r="FL346" s="204"/>
      <c r="FM346" s="204"/>
      <c r="FN346" s="204"/>
      <c r="FO346" s="204"/>
      <c r="FP346" s="204"/>
      <c r="FQ346" s="204"/>
      <c r="FR346" s="204"/>
      <c r="FS346" s="204"/>
      <c r="FT346" s="204"/>
      <c r="FU346" s="204"/>
      <c r="FV346" s="204"/>
      <c r="FW346" s="204"/>
      <c r="FX346" s="204"/>
      <c r="FY346" s="204"/>
      <c r="FZ346" s="204"/>
      <c r="GA346" s="204"/>
      <c r="GB346" s="204"/>
      <c r="GC346" s="204"/>
      <c r="GD346" s="204"/>
      <c r="GE346" s="204"/>
      <c r="GF346" s="204"/>
      <c r="GG346" s="204"/>
      <c r="GH346" s="204"/>
      <c r="GI346" s="204"/>
      <c r="GJ346" s="204"/>
      <c r="GK346" s="204"/>
      <c r="GL346" s="204"/>
      <c r="GM346" s="204"/>
      <c r="GN346" s="204"/>
      <c r="GO346" s="204"/>
      <c r="GP346" s="204"/>
      <c r="GQ346" s="204"/>
      <c r="GR346" s="204"/>
      <c r="GS346" s="204"/>
      <c r="GT346" s="204"/>
      <c r="GU346" s="204"/>
      <c r="GV346" s="204"/>
      <c r="GW346" s="204"/>
      <c r="GX346" s="204"/>
      <c r="GY346" s="204"/>
      <c r="GZ346" s="204"/>
      <c r="HA346" s="204"/>
      <c r="HB346" s="204"/>
      <c r="HC346" s="204"/>
      <c r="HD346" s="204"/>
      <c r="HE346" s="204"/>
      <c r="HF346" s="204"/>
      <c r="HG346" s="204"/>
      <c r="HH346" s="204"/>
      <c r="HI346" s="204"/>
      <c r="HJ346" s="204"/>
      <c r="HK346" s="204"/>
      <c r="HL346" s="204"/>
      <c r="HM346" s="204"/>
      <c r="HN346" s="204"/>
      <c r="HO346" s="204"/>
      <c r="HP346" s="204"/>
      <c r="HQ346" s="204"/>
      <c r="HR346" s="204"/>
      <c r="HS346" s="204"/>
      <c r="HT346" s="204"/>
      <c r="HU346" s="204"/>
      <c r="HV346" s="204"/>
      <c r="HW346" s="204"/>
      <c r="HX346" s="204"/>
      <c r="HY346" s="204"/>
      <c r="HZ346" s="204"/>
      <c r="IA346" s="204"/>
      <c r="IB346" s="204"/>
      <c r="IC346" s="204"/>
      <c r="ID346" s="204"/>
      <c r="IE346" s="204"/>
      <c r="IF346" s="204"/>
      <c r="IG346" s="204"/>
      <c r="IH346" s="204"/>
      <c r="II346" s="204"/>
      <c r="IJ346" s="204"/>
      <c r="IK346" s="204"/>
      <c r="IL346" s="204"/>
      <c r="IM346" s="204"/>
      <c r="IN346" s="204"/>
      <c r="IO346" s="204"/>
      <c r="IP346" s="204"/>
      <c r="IQ346" s="204"/>
      <c r="IR346" s="204"/>
      <c r="IS346" s="204"/>
      <c r="IT346" s="204"/>
      <c r="IU346" s="204"/>
      <c r="IV346" s="204"/>
    </row>
    <row r="347" spans="1:10" ht="12.75">
      <c r="A347" s="255" t="s">
        <v>442</v>
      </c>
      <c r="B347" s="377" t="s">
        <v>883</v>
      </c>
      <c r="C347" s="443" t="s">
        <v>885</v>
      </c>
      <c r="D347" s="234" t="s">
        <v>796</v>
      </c>
      <c r="E347" s="235"/>
      <c r="F347" s="236"/>
      <c r="G347" s="200"/>
      <c r="H347" s="229">
        <f>G347/6*12</f>
        <v>0</v>
      </c>
      <c r="I347" s="201">
        <f>ROUND(H347*1.1445,-3)</f>
        <v>0</v>
      </c>
      <c r="J347" s="416"/>
    </row>
    <row r="348" spans="1:10" ht="12.75">
      <c r="A348" s="231"/>
      <c r="B348" s="232"/>
      <c r="C348" s="444"/>
      <c r="D348" s="234"/>
      <c r="E348" s="235"/>
      <c r="F348" s="236"/>
      <c r="G348" s="228"/>
      <c r="H348" s="229"/>
      <c r="I348" s="230"/>
      <c r="J348" s="416"/>
    </row>
    <row r="349" spans="1:10" ht="12.75">
      <c r="A349" s="231"/>
      <c r="B349" s="232" t="s">
        <v>133</v>
      </c>
      <c r="C349" s="434" t="s">
        <v>460</v>
      </c>
      <c r="D349" s="234"/>
      <c r="E349" s="235"/>
      <c r="F349" s="236"/>
      <c r="G349" s="228">
        <f>SUM(G350:G354)</f>
        <v>0</v>
      </c>
      <c r="H349" s="229">
        <f>SUM(H350:H354)</f>
        <v>1000</v>
      </c>
      <c r="I349" s="230">
        <f>SUM(I350:I354)</f>
        <v>1000</v>
      </c>
      <c r="J349" s="416"/>
    </row>
    <row r="350" spans="1:10" ht="12.75">
      <c r="A350" s="231" t="s">
        <v>441</v>
      </c>
      <c r="B350" s="232" t="s">
        <v>165</v>
      </c>
      <c r="C350" s="434" t="s">
        <v>361</v>
      </c>
      <c r="D350" s="234" t="s">
        <v>778</v>
      </c>
      <c r="E350" s="235" t="s">
        <v>782</v>
      </c>
      <c r="F350" s="236" t="s">
        <v>783</v>
      </c>
      <c r="G350" s="35"/>
      <c r="H350" s="229">
        <v>1000</v>
      </c>
      <c r="I350" s="36">
        <f>ROUND(H350*1.1445,-3)</f>
        <v>1000</v>
      </c>
      <c r="J350" s="416"/>
    </row>
    <row r="351" spans="1:10" ht="12.75">
      <c r="A351" s="231" t="s">
        <v>441</v>
      </c>
      <c r="B351" s="232" t="s">
        <v>166</v>
      </c>
      <c r="C351" s="434" t="s">
        <v>362</v>
      </c>
      <c r="D351" s="234" t="s">
        <v>778</v>
      </c>
      <c r="E351" s="235" t="s">
        <v>782</v>
      </c>
      <c r="F351" s="236" t="s">
        <v>783</v>
      </c>
      <c r="G351" s="35"/>
      <c r="H351" s="229">
        <f>G351/6*12</f>
        <v>0</v>
      </c>
      <c r="I351" s="36">
        <f>ROUND(H351*1.1445,-3)</f>
        <v>0</v>
      </c>
      <c r="J351" s="416"/>
    </row>
    <row r="352" spans="1:10" ht="12.75">
      <c r="A352" s="231" t="s">
        <v>441</v>
      </c>
      <c r="B352" s="232" t="s">
        <v>167</v>
      </c>
      <c r="C352" s="434" t="s">
        <v>363</v>
      </c>
      <c r="D352" s="234" t="s">
        <v>778</v>
      </c>
      <c r="E352" s="235" t="s">
        <v>782</v>
      </c>
      <c r="F352" s="236" t="s">
        <v>783</v>
      </c>
      <c r="G352" s="35"/>
      <c r="H352" s="229">
        <f>G352/6*12</f>
        <v>0</v>
      </c>
      <c r="I352" s="36">
        <f>ROUND(H352*1.1445,-3)</f>
        <v>0</v>
      </c>
      <c r="J352" s="416"/>
    </row>
    <row r="353" spans="1:10" ht="12.75">
      <c r="A353" s="231" t="s">
        <v>441</v>
      </c>
      <c r="B353" s="232" t="s">
        <v>826</v>
      </c>
      <c r="C353" s="434" t="s">
        <v>827</v>
      </c>
      <c r="D353" s="234" t="s">
        <v>778</v>
      </c>
      <c r="E353" s="235"/>
      <c r="F353" s="236"/>
      <c r="G353" s="35"/>
      <c r="H353" s="229">
        <f>G353/6*12</f>
        <v>0</v>
      </c>
      <c r="I353" s="36">
        <f>ROUND(H353*1.1445,-3)</f>
        <v>0</v>
      </c>
      <c r="J353" s="416"/>
    </row>
    <row r="354" spans="1:10" ht="12.75">
      <c r="A354" s="231" t="s">
        <v>441</v>
      </c>
      <c r="B354" s="232" t="s">
        <v>168</v>
      </c>
      <c r="C354" s="434" t="s">
        <v>364</v>
      </c>
      <c r="D354" s="234" t="s">
        <v>778</v>
      </c>
      <c r="E354" s="235"/>
      <c r="F354" s="236"/>
      <c r="G354" s="35"/>
      <c r="H354" s="229">
        <f>G354/6*12</f>
        <v>0</v>
      </c>
      <c r="I354" s="36">
        <f>ROUND(H354*1.1445,-3)</f>
        <v>0</v>
      </c>
      <c r="J354" s="416"/>
    </row>
    <row r="355" spans="1:10" ht="12.75">
      <c r="A355" s="231"/>
      <c r="B355" s="232"/>
      <c r="C355" s="434"/>
      <c r="D355" s="234"/>
      <c r="E355" s="235"/>
      <c r="F355" s="236"/>
      <c r="G355" s="368"/>
      <c r="H355" s="229"/>
      <c r="I355" s="47"/>
      <c r="J355" s="416"/>
    </row>
    <row r="356" spans="1:10" ht="12.75">
      <c r="A356" s="231"/>
      <c r="B356" s="232" t="s">
        <v>891</v>
      </c>
      <c r="C356" s="434" t="s">
        <v>886</v>
      </c>
      <c r="D356" s="234"/>
      <c r="E356" s="235"/>
      <c r="F356" s="236"/>
      <c r="G356" s="228">
        <f aca="true" t="shared" si="21" ref="G356:I357">G357</f>
        <v>0</v>
      </c>
      <c r="H356" s="229">
        <f t="shared" si="21"/>
        <v>0</v>
      </c>
      <c r="I356" s="230">
        <f t="shared" si="21"/>
        <v>0</v>
      </c>
      <c r="J356" s="416"/>
    </row>
    <row r="357" spans="1:10" ht="12.75">
      <c r="A357" s="231"/>
      <c r="B357" s="232" t="s">
        <v>892</v>
      </c>
      <c r="C357" s="434" t="s">
        <v>887</v>
      </c>
      <c r="D357" s="234"/>
      <c r="E357" s="235"/>
      <c r="F357" s="236"/>
      <c r="G357" s="228">
        <f t="shared" si="21"/>
        <v>0</v>
      </c>
      <c r="H357" s="229">
        <f t="shared" si="21"/>
        <v>0</v>
      </c>
      <c r="I357" s="230">
        <f t="shared" si="21"/>
        <v>0</v>
      </c>
      <c r="J357" s="416"/>
    </row>
    <row r="358" spans="1:10" ht="12.75">
      <c r="A358" s="255" t="s">
        <v>442</v>
      </c>
      <c r="B358" s="256" t="s">
        <v>893</v>
      </c>
      <c r="C358" s="443" t="s">
        <v>887</v>
      </c>
      <c r="D358" s="234" t="s">
        <v>796</v>
      </c>
      <c r="E358" s="235"/>
      <c r="F358" s="236"/>
      <c r="G358" s="200"/>
      <c r="H358" s="229">
        <f>G358/6*12</f>
        <v>0</v>
      </c>
      <c r="I358" s="201">
        <f>ROUND(H358*1.1445,-3)</f>
        <v>0</v>
      </c>
      <c r="J358" s="416"/>
    </row>
    <row r="359" spans="1:10" ht="15">
      <c r="A359" s="231"/>
      <c r="B359" s="378"/>
      <c r="C359" s="445"/>
      <c r="D359" s="234"/>
      <c r="E359" s="235"/>
      <c r="F359" s="236"/>
      <c r="G359" s="368"/>
      <c r="H359" s="229"/>
      <c r="I359" s="47"/>
      <c r="J359" s="416"/>
    </row>
    <row r="360" spans="1:10" ht="12.75">
      <c r="A360" s="231"/>
      <c r="B360" s="232" t="s">
        <v>894</v>
      </c>
      <c r="C360" s="434" t="s">
        <v>888</v>
      </c>
      <c r="D360" s="234"/>
      <c r="E360" s="235"/>
      <c r="F360" s="236"/>
      <c r="G360" s="228">
        <f>SUM(G361:G362)</f>
        <v>0</v>
      </c>
      <c r="H360" s="229">
        <f>SUM(H361:H362)</f>
        <v>0</v>
      </c>
      <c r="I360" s="230">
        <f>SUM(I361:I362)</f>
        <v>0</v>
      </c>
      <c r="J360" s="416"/>
    </row>
    <row r="361" spans="1:10" ht="12.75">
      <c r="A361" s="255" t="s">
        <v>442</v>
      </c>
      <c r="B361" s="256" t="s">
        <v>895</v>
      </c>
      <c r="C361" s="443" t="s">
        <v>889</v>
      </c>
      <c r="D361" s="234" t="s">
        <v>796</v>
      </c>
      <c r="E361" s="235"/>
      <c r="F361" s="236"/>
      <c r="G361" s="200"/>
      <c r="H361" s="229">
        <f>G361/6*12</f>
        <v>0</v>
      </c>
      <c r="I361" s="201">
        <f>ROUND(H361*1.1445,-3)</f>
        <v>0</v>
      </c>
      <c r="J361" s="416"/>
    </row>
    <row r="362" spans="1:10" ht="12.75">
      <c r="A362" s="255" t="s">
        <v>442</v>
      </c>
      <c r="B362" s="256" t="s">
        <v>896</v>
      </c>
      <c r="C362" s="443" t="s">
        <v>890</v>
      </c>
      <c r="D362" s="234" t="s">
        <v>796</v>
      </c>
      <c r="E362" s="235"/>
      <c r="F362" s="236"/>
      <c r="G362" s="200"/>
      <c r="H362" s="229">
        <f>G362/6*12</f>
        <v>0</v>
      </c>
      <c r="I362" s="201">
        <f>ROUND(H362*1.1445,-3)</f>
        <v>0</v>
      </c>
      <c r="J362" s="416"/>
    </row>
    <row r="363" spans="1:10" ht="12.75">
      <c r="A363" s="231"/>
      <c r="B363" s="232"/>
      <c r="C363" s="434"/>
      <c r="D363" s="234"/>
      <c r="E363" s="235"/>
      <c r="F363" s="236"/>
      <c r="G363" s="228"/>
      <c r="H363" s="229">
        <f>G363*2</f>
        <v>0</v>
      </c>
      <c r="I363" s="230"/>
      <c r="J363" s="416"/>
    </row>
    <row r="364" spans="1:10" ht="12.75">
      <c r="A364" s="231"/>
      <c r="B364" s="232" t="s">
        <v>134</v>
      </c>
      <c r="C364" s="434" t="s">
        <v>365</v>
      </c>
      <c r="D364" s="234"/>
      <c r="E364" s="235"/>
      <c r="F364" s="236"/>
      <c r="G364" s="228">
        <f>SUM(G365:G367)</f>
        <v>0</v>
      </c>
      <c r="H364" s="229">
        <f>SUM(H365:H367)</f>
        <v>0</v>
      </c>
      <c r="I364" s="230">
        <f>SUM(I365:I367)</f>
        <v>0</v>
      </c>
      <c r="J364" s="416"/>
    </row>
    <row r="365" spans="1:10" ht="12.75">
      <c r="A365" s="250" t="s">
        <v>434</v>
      </c>
      <c r="B365" s="251" t="s">
        <v>587</v>
      </c>
      <c r="C365" s="442" t="s">
        <v>588</v>
      </c>
      <c r="D365" s="234" t="s">
        <v>778</v>
      </c>
      <c r="E365" s="235"/>
      <c r="F365" s="236"/>
      <c r="G365" s="43"/>
      <c r="H365" s="229">
        <f>G365/6*12</f>
        <v>0</v>
      </c>
      <c r="I365" s="44">
        <f>ROUND(H365*1.1445,-3)</f>
        <v>0</v>
      </c>
      <c r="J365" s="416"/>
    </row>
    <row r="366" spans="1:10" ht="12.75">
      <c r="A366" s="231" t="s">
        <v>441</v>
      </c>
      <c r="B366" s="232" t="s">
        <v>169</v>
      </c>
      <c r="C366" s="434" t="s">
        <v>367</v>
      </c>
      <c r="D366" s="234" t="s">
        <v>778</v>
      </c>
      <c r="E366" s="235"/>
      <c r="F366" s="236"/>
      <c r="G366" s="35"/>
      <c r="H366" s="229">
        <f>G366/6*12</f>
        <v>0</v>
      </c>
      <c r="I366" s="36">
        <f>ROUND(H366*1.1445,-3)</f>
        <v>0</v>
      </c>
      <c r="J366" s="416"/>
    </row>
    <row r="367" spans="1:10" ht="12.75">
      <c r="A367" s="231"/>
      <c r="B367" s="232" t="s">
        <v>170</v>
      </c>
      <c r="C367" s="434" t="s">
        <v>366</v>
      </c>
      <c r="D367" s="234"/>
      <c r="E367" s="235"/>
      <c r="F367" s="236"/>
      <c r="G367" s="228">
        <f>SUM(G368:G369)</f>
        <v>0</v>
      </c>
      <c r="H367" s="229">
        <f>SUM(H368:H369)</f>
        <v>0</v>
      </c>
      <c r="I367" s="230">
        <f>SUM(I368:I369)</f>
        <v>0</v>
      </c>
      <c r="J367" s="416"/>
    </row>
    <row r="368" spans="1:10" ht="12.75">
      <c r="A368" s="252" t="s">
        <v>440</v>
      </c>
      <c r="B368" s="253" t="s">
        <v>627</v>
      </c>
      <c r="C368" s="439" t="s">
        <v>629</v>
      </c>
      <c r="D368" s="234" t="s">
        <v>778</v>
      </c>
      <c r="E368" s="235"/>
      <c r="F368" s="236"/>
      <c r="G368" s="45"/>
      <c r="H368" s="229">
        <f>G368/6*12</f>
        <v>0</v>
      </c>
      <c r="I368" s="46">
        <f>ROUND(H368*1.1445,-3)</f>
        <v>0</v>
      </c>
      <c r="J368" s="416"/>
    </row>
    <row r="369" spans="1:10" ht="12.75">
      <c r="A369" s="231" t="s">
        <v>441</v>
      </c>
      <c r="B369" s="232" t="s">
        <v>628</v>
      </c>
      <c r="C369" s="434" t="s">
        <v>630</v>
      </c>
      <c r="D369" s="234" t="s">
        <v>778</v>
      </c>
      <c r="E369" s="235"/>
      <c r="F369" s="236"/>
      <c r="G369" s="35"/>
      <c r="H369" s="229">
        <f>G369/6*12</f>
        <v>0</v>
      </c>
      <c r="I369" s="36">
        <f>ROUND(H369*1.1445,-3)</f>
        <v>0</v>
      </c>
      <c r="J369" s="416"/>
    </row>
    <row r="370" spans="1:10" ht="12.75">
      <c r="A370" s="231"/>
      <c r="B370" s="232"/>
      <c r="C370" s="434"/>
      <c r="D370" s="234"/>
      <c r="E370" s="235"/>
      <c r="F370" s="236"/>
      <c r="G370" s="228"/>
      <c r="H370" s="229"/>
      <c r="I370" s="230"/>
      <c r="J370" s="416"/>
    </row>
    <row r="371" spans="1:10" ht="12.75">
      <c r="A371" s="231"/>
      <c r="B371" s="232" t="s">
        <v>135</v>
      </c>
      <c r="C371" s="434" t="s">
        <v>368</v>
      </c>
      <c r="D371" s="234"/>
      <c r="E371" s="235"/>
      <c r="F371" s="236"/>
      <c r="G371" s="228">
        <f>G372+G382</f>
        <v>102757.25</v>
      </c>
      <c r="H371" s="229">
        <f>H372+H382</f>
        <v>18000</v>
      </c>
      <c r="I371" s="230">
        <f>I372+I382</f>
        <v>21000</v>
      </c>
      <c r="J371" s="416"/>
    </row>
    <row r="372" spans="1:10" ht="12.75">
      <c r="A372" s="231"/>
      <c r="B372" s="232" t="s">
        <v>136</v>
      </c>
      <c r="C372" s="434" t="s">
        <v>369</v>
      </c>
      <c r="D372" s="234"/>
      <c r="E372" s="235"/>
      <c r="F372" s="236"/>
      <c r="G372" s="228">
        <f>SUM(G373:G374)</f>
        <v>0</v>
      </c>
      <c r="H372" s="229">
        <f>SUM(H373:H374)</f>
        <v>5000</v>
      </c>
      <c r="I372" s="230">
        <f>SUM(I373:I374)</f>
        <v>6000</v>
      </c>
      <c r="J372" s="416"/>
    </row>
    <row r="373" spans="1:10" ht="12.75">
      <c r="A373" s="231" t="s">
        <v>441</v>
      </c>
      <c r="B373" s="232" t="s">
        <v>171</v>
      </c>
      <c r="C373" s="434" t="s">
        <v>624</v>
      </c>
      <c r="D373" s="234" t="s">
        <v>778</v>
      </c>
      <c r="E373" s="235"/>
      <c r="F373" s="236"/>
      <c r="G373" s="35"/>
      <c r="H373" s="229">
        <f>G373/6*12</f>
        <v>0</v>
      </c>
      <c r="I373" s="36">
        <f>ROUND(H373*1.1445,-3)</f>
        <v>0</v>
      </c>
      <c r="J373" s="416"/>
    </row>
    <row r="374" spans="1:10" ht="12.75">
      <c r="A374" s="231"/>
      <c r="B374" s="232" t="s">
        <v>172</v>
      </c>
      <c r="C374" s="434" t="s">
        <v>370</v>
      </c>
      <c r="D374" s="234"/>
      <c r="E374" s="235"/>
      <c r="F374" s="236"/>
      <c r="G374" s="368">
        <f>SUM(G375:G380)</f>
        <v>0</v>
      </c>
      <c r="H374" s="369">
        <f>SUM(H375:H380)</f>
        <v>5000</v>
      </c>
      <c r="I374" s="47">
        <f>SUM(I375:I380)</f>
        <v>6000</v>
      </c>
      <c r="J374" s="416"/>
    </row>
    <row r="375" spans="1:10" ht="12.75">
      <c r="A375" s="231" t="s">
        <v>441</v>
      </c>
      <c r="B375" s="232" t="s">
        <v>939</v>
      </c>
      <c r="C375" s="434" t="s">
        <v>945</v>
      </c>
      <c r="D375" s="234" t="s">
        <v>778</v>
      </c>
      <c r="E375" s="235"/>
      <c r="F375" s="236"/>
      <c r="G375" s="35"/>
      <c r="H375" s="229">
        <v>5000</v>
      </c>
      <c r="I375" s="547">
        <f aca="true" t="shared" si="22" ref="I375:I380">ROUND(H375*1.1445,-3)</f>
        <v>6000</v>
      </c>
      <c r="J375" s="417"/>
    </row>
    <row r="376" spans="1:10" ht="12.75">
      <c r="A376" s="244" t="s">
        <v>439</v>
      </c>
      <c r="B376" s="245" t="s">
        <v>940</v>
      </c>
      <c r="C376" s="438" t="s">
        <v>946</v>
      </c>
      <c r="D376" s="234" t="s">
        <v>778</v>
      </c>
      <c r="E376" s="235"/>
      <c r="F376" s="236"/>
      <c r="G376" s="37"/>
      <c r="H376" s="229">
        <f>G376/6*12</f>
        <v>0</v>
      </c>
      <c r="I376" s="38">
        <f t="shared" si="22"/>
        <v>0</v>
      </c>
      <c r="J376" s="416"/>
    </row>
    <row r="377" spans="1:10" ht="12.75">
      <c r="A377" s="248" t="s">
        <v>438</v>
      </c>
      <c r="B377" s="249" t="s">
        <v>941</v>
      </c>
      <c r="C377" s="441" t="s">
        <v>947</v>
      </c>
      <c r="D377" s="234" t="s">
        <v>778</v>
      </c>
      <c r="E377" s="235"/>
      <c r="F377" s="236"/>
      <c r="G377" s="41"/>
      <c r="H377" s="229">
        <f>G377/6*12</f>
        <v>0</v>
      </c>
      <c r="I377" s="42">
        <f t="shared" si="22"/>
        <v>0</v>
      </c>
      <c r="J377" s="416"/>
    </row>
    <row r="378" spans="1:10" ht="12.75">
      <c r="A378" s="250" t="s">
        <v>434</v>
      </c>
      <c r="B378" s="251" t="s">
        <v>942</v>
      </c>
      <c r="C378" s="442" t="s">
        <v>948</v>
      </c>
      <c r="D378" s="234" t="s">
        <v>778</v>
      </c>
      <c r="E378" s="235"/>
      <c r="F378" s="236"/>
      <c r="G378" s="43"/>
      <c r="H378" s="229">
        <f>G378/6*12</f>
        <v>0</v>
      </c>
      <c r="I378" s="44">
        <f t="shared" si="22"/>
        <v>0</v>
      </c>
      <c r="J378" s="416"/>
    </row>
    <row r="379" spans="1:10" ht="12.75">
      <c r="A379" s="252" t="s">
        <v>440</v>
      </c>
      <c r="B379" s="253" t="s">
        <v>943</v>
      </c>
      <c r="C379" s="439" t="s">
        <v>949</v>
      </c>
      <c r="D379" s="234" t="s">
        <v>778</v>
      </c>
      <c r="E379" s="235"/>
      <c r="F379" s="236"/>
      <c r="G379" s="45"/>
      <c r="H379" s="229">
        <f>G379/6*12</f>
        <v>0</v>
      </c>
      <c r="I379" s="46">
        <f t="shared" si="22"/>
        <v>0</v>
      </c>
      <c r="J379" s="416"/>
    </row>
    <row r="380" spans="1:10" ht="12.75">
      <c r="A380" s="246" t="s">
        <v>442</v>
      </c>
      <c r="B380" s="247" t="s">
        <v>944</v>
      </c>
      <c r="C380" s="436" t="s">
        <v>950</v>
      </c>
      <c r="D380" s="234" t="s">
        <v>796</v>
      </c>
      <c r="E380" s="235"/>
      <c r="F380" s="236"/>
      <c r="G380" s="39"/>
      <c r="H380" s="229">
        <f>G380/6*12</f>
        <v>0</v>
      </c>
      <c r="I380" s="201">
        <f t="shared" si="22"/>
        <v>0</v>
      </c>
      <c r="J380" s="416"/>
    </row>
    <row r="381" spans="1:10" ht="12.75">
      <c r="A381" s="231"/>
      <c r="B381" s="232"/>
      <c r="C381" s="434"/>
      <c r="D381" s="234"/>
      <c r="E381" s="235"/>
      <c r="F381" s="236"/>
      <c r="G381" s="228"/>
      <c r="H381" s="229"/>
      <c r="I381" s="230"/>
      <c r="J381" s="416"/>
    </row>
    <row r="382" spans="1:10" ht="12.75">
      <c r="A382" s="231"/>
      <c r="B382" s="232" t="s">
        <v>137</v>
      </c>
      <c r="C382" s="434" t="s">
        <v>371</v>
      </c>
      <c r="D382" s="234"/>
      <c r="E382" s="235"/>
      <c r="F382" s="236"/>
      <c r="G382" s="228">
        <f>G383+G386</f>
        <v>102757.25</v>
      </c>
      <c r="H382" s="229">
        <f>H383+H386</f>
        <v>13000</v>
      </c>
      <c r="I382" s="230">
        <f>I383+I386</f>
        <v>15000</v>
      </c>
      <c r="J382" s="416"/>
    </row>
    <row r="383" spans="1:10" ht="12.75">
      <c r="A383" s="257"/>
      <c r="B383" s="232" t="s">
        <v>734</v>
      </c>
      <c r="C383" s="434" t="s">
        <v>735</v>
      </c>
      <c r="D383" s="234"/>
      <c r="E383" s="235"/>
      <c r="F383" s="236"/>
      <c r="G383" s="228">
        <f>G384</f>
        <v>0</v>
      </c>
      <c r="H383" s="229">
        <f>H384</f>
        <v>10000</v>
      </c>
      <c r="I383" s="230">
        <f>I384</f>
        <v>11000</v>
      </c>
      <c r="J383" s="416"/>
    </row>
    <row r="384" spans="1:10" ht="12.75">
      <c r="A384" s="246" t="s">
        <v>442</v>
      </c>
      <c r="B384" s="247" t="s">
        <v>736</v>
      </c>
      <c r="C384" s="436" t="s">
        <v>737</v>
      </c>
      <c r="D384" s="234" t="s">
        <v>796</v>
      </c>
      <c r="E384" s="235"/>
      <c r="F384" s="236"/>
      <c r="G384" s="39"/>
      <c r="H384" s="229">
        <v>10000</v>
      </c>
      <c r="I384" s="201">
        <f>ROUND(H384*1.1445,-3)</f>
        <v>11000</v>
      </c>
      <c r="J384" s="416"/>
    </row>
    <row r="385" spans="1:10" ht="12.75">
      <c r="A385" s="257"/>
      <c r="B385" s="232"/>
      <c r="C385" s="434"/>
      <c r="D385" s="234"/>
      <c r="E385" s="235"/>
      <c r="F385" s="236"/>
      <c r="G385" s="228"/>
      <c r="H385" s="229"/>
      <c r="I385" s="230"/>
      <c r="J385" s="416"/>
    </row>
    <row r="386" spans="1:10" ht="12.75">
      <c r="A386" s="258"/>
      <c r="B386" s="232" t="s">
        <v>173</v>
      </c>
      <c r="C386" s="434" t="s">
        <v>568</v>
      </c>
      <c r="D386" s="234"/>
      <c r="E386" s="235"/>
      <c r="F386" s="236"/>
      <c r="G386" s="228">
        <f>SUM(G387:G392)</f>
        <v>102757.25</v>
      </c>
      <c r="H386" s="229">
        <v>3000</v>
      </c>
      <c r="I386" s="230">
        <f>SUM(I387:I392)</f>
        <v>4000</v>
      </c>
      <c r="J386" s="416"/>
    </row>
    <row r="387" spans="1:10" ht="12.75">
      <c r="A387" s="231" t="s">
        <v>441</v>
      </c>
      <c r="B387" s="232" t="s">
        <v>564</v>
      </c>
      <c r="C387" s="434" t="s">
        <v>569</v>
      </c>
      <c r="D387" s="234" t="s">
        <v>778</v>
      </c>
      <c r="E387" s="235"/>
      <c r="F387" s="236"/>
      <c r="G387" s="35">
        <v>98257.25</v>
      </c>
      <c r="H387" s="229">
        <v>1000</v>
      </c>
      <c r="I387" s="549">
        <f>ROUND(H387*1.1445,-3)+3000</f>
        <v>4000</v>
      </c>
      <c r="J387" s="416"/>
    </row>
    <row r="388" spans="1:10" ht="12.75">
      <c r="A388" s="244" t="s">
        <v>439</v>
      </c>
      <c r="B388" s="245" t="s">
        <v>565</v>
      </c>
      <c r="C388" s="438" t="s">
        <v>570</v>
      </c>
      <c r="D388" s="234" t="s">
        <v>778</v>
      </c>
      <c r="E388" s="235"/>
      <c r="F388" s="236"/>
      <c r="G388" s="37">
        <v>4500</v>
      </c>
      <c r="H388" s="229">
        <v>0</v>
      </c>
      <c r="I388" s="38">
        <f>ROUND(H388*1.1445,-3)</f>
        <v>0</v>
      </c>
      <c r="J388" s="416"/>
    </row>
    <row r="389" spans="1:10" ht="12.75">
      <c r="A389" s="248" t="s">
        <v>438</v>
      </c>
      <c r="B389" s="249" t="s">
        <v>566</v>
      </c>
      <c r="C389" s="441" t="s">
        <v>571</v>
      </c>
      <c r="D389" s="234" t="s">
        <v>778</v>
      </c>
      <c r="E389" s="235"/>
      <c r="F389" s="236"/>
      <c r="G389" s="41"/>
      <c r="H389" s="229">
        <f>G389/6*12</f>
        <v>0</v>
      </c>
      <c r="I389" s="42">
        <f>ROUND(H389*1.1445,-3)</f>
        <v>0</v>
      </c>
      <c r="J389" s="416"/>
    </row>
    <row r="390" spans="1:10" ht="12.75">
      <c r="A390" s="250" t="s">
        <v>434</v>
      </c>
      <c r="B390" s="251" t="s">
        <v>567</v>
      </c>
      <c r="C390" s="442" t="s">
        <v>572</v>
      </c>
      <c r="D390" s="234" t="s">
        <v>778</v>
      </c>
      <c r="E390" s="235"/>
      <c r="F390" s="236"/>
      <c r="G390" s="43"/>
      <c r="H390" s="229">
        <f>G390/6*12</f>
        <v>0</v>
      </c>
      <c r="I390" s="44">
        <f>ROUND(H390*1.1445,-3)</f>
        <v>0</v>
      </c>
      <c r="J390" s="416"/>
    </row>
    <row r="391" spans="1:10" ht="12.75">
      <c r="A391" s="252" t="s">
        <v>440</v>
      </c>
      <c r="B391" s="253" t="s">
        <v>573</v>
      </c>
      <c r="C391" s="439" t="s">
        <v>575</v>
      </c>
      <c r="D391" s="234" t="s">
        <v>778</v>
      </c>
      <c r="E391" s="235"/>
      <c r="F391" s="236"/>
      <c r="G391" s="45"/>
      <c r="H391" s="229">
        <f>G391/6*12</f>
        <v>0</v>
      </c>
      <c r="I391" s="46">
        <f>ROUND(H391*1.1445,-3)</f>
        <v>0</v>
      </c>
      <c r="J391" s="416"/>
    </row>
    <row r="392" spans="1:10" ht="12.75">
      <c r="A392" s="246" t="s">
        <v>442</v>
      </c>
      <c r="B392" s="247" t="s">
        <v>574</v>
      </c>
      <c r="C392" s="436" t="s">
        <v>576</v>
      </c>
      <c r="D392" s="234" t="s">
        <v>796</v>
      </c>
      <c r="E392" s="235"/>
      <c r="F392" s="236"/>
      <c r="G392" s="39"/>
      <c r="H392" s="229">
        <f>G392/6*12</f>
        <v>0</v>
      </c>
      <c r="I392" s="40">
        <f>ROUND(H392*1.1445,-3)</f>
        <v>0</v>
      </c>
      <c r="J392" s="416"/>
    </row>
    <row r="393" spans="1:10" ht="12.75">
      <c r="A393" s="231"/>
      <c r="B393" s="232"/>
      <c r="C393" s="434"/>
      <c r="D393" s="234"/>
      <c r="E393" s="235"/>
      <c r="F393" s="236"/>
      <c r="G393" s="228"/>
      <c r="H393" s="229"/>
      <c r="I393" s="230"/>
      <c r="J393" s="416"/>
    </row>
    <row r="394" spans="1:10" ht="12.75">
      <c r="A394" s="231"/>
      <c r="B394" s="232" t="s">
        <v>138</v>
      </c>
      <c r="C394" s="434" t="s">
        <v>372</v>
      </c>
      <c r="D394" s="234"/>
      <c r="E394" s="235"/>
      <c r="F394" s="236"/>
      <c r="G394" s="228">
        <f>G395+G404</f>
        <v>12204.6</v>
      </c>
      <c r="H394" s="229">
        <f>H395+H404</f>
        <v>440000</v>
      </c>
      <c r="I394" s="230">
        <f>I395+I404</f>
        <v>504000</v>
      </c>
      <c r="J394" s="416"/>
    </row>
    <row r="395" spans="1:10" ht="12.75">
      <c r="A395" s="231"/>
      <c r="B395" s="232" t="s">
        <v>139</v>
      </c>
      <c r="C395" s="434" t="s">
        <v>373</v>
      </c>
      <c r="D395" s="234"/>
      <c r="E395" s="235"/>
      <c r="F395" s="236"/>
      <c r="G395" s="228">
        <f>SUM(G396:G400)</f>
        <v>12204.6</v>
      </c>
      <c r="H395" s="229">
        <f>SUM(H396:H400)</f>
        <v>440000</v>
      </c>
      <c r="I395" s="230">
        <f>SUM(I396:I400)</f>
        <v>504000</v>
      </c>
      <c r="J395" s="416"/>
    </row>
    <row r="396" spans="1:10" ht="12.75">
      <c r="A396" s="231" t="s">
        <v>441</v>
      </c>
      <c r="B396" s="232" t="s">
        <v>174</v>
      </c>
      <c r="C396" s="434" t="s">
        <v>374</v>
      </c>
      <c r="D396" s="234" t="s">
        <v>778</v>
      </c>
      <c r="E396" s="235" t="s">
        <v>782</v>
      </c>
      <c r="F396" s="236" t="s">
        <v>783</v>
      </c>
      <c r="G396" s="35">
        <v>12204.6</v>
      </c>
      <c r="H396" s="229">
        <v>440000</v>
      </c>
      <c r="I396" s="36">
        <f>ROUND(H396*1.1445,-3)</f>
        <v>504000</v>
      </c>
      <c r="J396" s="416"/>
    </row>
    <row r="397" spans="1:10" ht="12.75">
      <c r="A397" s="231" t="s">
        <v>441</v>
      </c>
      <c r="B397" s="232" t="s">
        <v>175</v>
      </c>
      <c r="C397" s="434" t="s">
        <v>375</v>
      </c>
      <c r="D397" s="234" t="s">
        <v>778</v>
      </c>
      <c r="E397" s="235" t="s">
        <v>782</v>
      </c>
      <c r="F397" s="236" t="s">
        <v>783</v>
      </c>
      <c r="G397" s="35"/>
      <c r="H397" s="229">
        <f>G397/6*12</f>
        <v>0</v>
      </c>
      <c r="I397" s="36">
        <f>ROUND(H397*1.1445,-3)</f>
        <v>0</v>
      </c>
      <c r="J397" s="416"/>
    </row>
    <row r="398" spans="1:10" ht="12.75">
      <c r="A398" s="231" t="s">
        <v>441</v>
      </c>
      <c r="B398" s="232" t="s">
        <v>176</v>
      </c>
      <c r="C398" s="434" t="s">
        <v>376</v>
      </c>
      <c r="D398" s="234" t="s">
        <v>778</v>
      </c>
      <c r="E398" s="235" t="s">
        <v>782</v>
      </c>
      <c r="F398" s="236" t="s">
        <v>783</v>
      </c>
      <c r="G398" s="35"/>
      <c r="H398" s="229">
        <f>G398/6*12</f>
        <v>0</v>
      </c>
      <c r="I398" s="36">
        <f>ROUND(H398*1.1445,-3)</f>
        <v>0</v>
      </c>
      <c r="J398" s="416"/>
    </row>
    <row r="399" spans="1:10" ht="12.75">
      <c r="A399" s="231" t="s">
        <v>441</v>
      </c>
      <c r="B399" s="232" t="s">
        <v>177</v>
      </c>
      <c r="C399" s="434" t="s">
        <v>461</v>
      </c>
      <c r="D399" s="234" t="s">
        <v>778</v>
      </c>
      <c r="E399" s="235"/>
      <c r="F399" s="236"/>
      <c r="G399" s="35"/>
      <c r="H399" s="229">
        <f>G399/6*12</f>
        <v>0</v>
      </c>
      <c r="I399" s="36">
        <f>ROUND(H399*1.1445,-3)</f>
        <v>0</v>
      </c>
      <c r="J399" s="416"/>
    </row>
    <row r="400" spans="1:10" ht="12.75">
      <c r="A400" s="231" t="s">
        <v>441</v>
      </c>
      <c r="B400" s="232" t="s">
        <v>178</v>
      </c>
      <c r="C400" s="434" t="s">
        <v>377</v>
      </c>
      <c r="D400" s="234"/>
      <c r="E400" s="235"/>
      <c r="F400" s="236"/>
      <c r="G400" s="47">
        <f>SUM(G401:G402)</f>
        <v>0</v>
      </c>
      <c r="H400" s="47">
        <f>SUM(H401:H402)</f>
        <v>0</v>
      </c>
      <c r="I400" s="47">
        <f>SUM(I401:I402)</f>
        <v>0</v>
      </c>
      <c r="J400" s="416"/>
    </row>
    <row r="401" spans="1:10" ht="12.75">
      <c r="A401" s="252" t="s">
        <v>440</v>
      </c>
      <c r="B401" s="253" t="s">
        <v>978</v>
      </c>
      <c r="C401" s="439" t="s">
        <v>976</v>
      </c>
      <c r="D401" s="234" t="s">
        <v>778</v>
      </c>
      <c r="E401" s="235"/>
      <c r="F401" s="236"/>
      <c r="G401" s="45"/>
      <c r="H401" s="229">
        <f>G401/6*12</f>
        <v>0</v>
      </c>
      <c r="I401" s="46">
        <f>ROUND(H401*1.1445,-3)</f>
        <v>0</v>
      </c>
      <c r="J401" s="416"/>
    </row>
    <row r="402" spans="1:10" ht="12.75">
      <c r="A402" s="231" t="s">
        <v>441</v>
      </c>
      <c r="B402" s="232" t="s">
        <v>979</v>
      </c>
      <c r="C402" s="434" t="s">
        <v>977</v>
      </c>
      <c r="D402" s="234" t="s">
        <v>778</v>
      </c>
      <c r="E402" s="235"/>
      <c r="F402" s="236"/>
      <c r="G402" s="35"/>
      <c r="H402" s="229">
        <f>G402/6*12</f>
        <v>0</v>
      </c>
      <c r="I402" s="36">
        <f>ROUND(H402*1.1445,-3)</f>
        <v>0</v>
      </c>
      <c r="J402" s="416"/>
    </row>
    <row r="403" spans="1:10" ht="12.75">
      <c r="A403" s="231"/>
      <c r="B403" s="232"/>
      <c r="C403" s="434"/>
      <c r="D403" s="234"/>
      <c r="E403" s="235"/>
      <c r="F403" s="236"/>
      <c r="G403" s="228"/>
      <c r="H403" s="229"/>
      <c r="I403" s="230"/>
      <c r="J403" s="416"/>
    </row>
    <row r="404" spans="1:10" ht="12.75">
      <c r="A404" s="231"/>
      <c r="B404" s="232" t="s">
        <v>462</v>
      </c>
      <c r="C404" s="434" t="s">
        <v>410</v>
      </c>
      <c r="D404" s="234"/>
      <c r="E404" s="235"/>
      <c r="F404" s="236"/>
      <c r="G404" s="228">
        <f>G405</f>
        <v>0</v>
      </c>
      <c r="H404" s="229">
        <f>H405</f>
        <v>0</v>
      </c>
      <c r="I404" s="230">
        <f>I405</f>
        <v>0</v>
      </c>
      <c r="J404" s="416"/>
    </row>
    <row r="405" spans="1:10" ht="12.75">
      <c r="A405" s="231" t="s">
        <v>441</v>
      </c>
      <c r="B405" s="232" t="s">
        <v>463</v>
      </c>
      <c r="C405" s="434" t="s">
        <v>464</v>
      </c>
      <c r="D405" s="234" t="s">
        <v>778</v>
      </c>
      <c r="E405" s="235"/>
      <c r="F405" s="236"/>
      <c r="G405" s="35"/>
      <c r="H405" s="229">
        <f>G405/6*12</f>
        <v>0</v>
      </c>
      <c r="I405" s="36">
        <f>ROUND(H405*1.1445,-3)</f>
        <v>0</v>
      </c>
      <c r="J405" s="416"/>
    </row>
    <row r="406" spans="1:10" ht="12.75">
      <c r="A406" s="231"/>
      <c r="B406" s="232"/>
      <c r="C406" s="434"/>
      <c r="D406" s="234"/>
      <c r="E406" s="235"/>
      <c r="F406" s="236"/>
      <c r="G406" s="228"/>
      <c r="H406" s="229"/>
      <c r="I406" s="230"/>
      <c r="J406" s="416"/>
    </row>
    <row r="407" spans="1:10" ht="12.75">
      <c r="A407" s="246" t="s">
        <v>442</v>
      </c>
      <c r="B407" s="247" t="s">
        <v>828</v>
      </c>
      <c r="C407" s="436" t="s">
        <v>829</v>
      </c>
      <c r="D407" s="234" t="s">
        <v>796</v>
      </c>
      <c r="E407" s="235"/>
      <c r="F407" s="236"/>
      <c r="G407" s="39"/>
      <c r="H407" s="229">
        <f>G407/6*12</f>
        <v>0</v>
      </c>
      <c r="I407" s="40">
        <f>ROUND(H407*1.1445,-3)</f>
        <v>0</v>
      </c>
      <c r="J407" s="416"/>
    </row>
    <row r="408" spans="1:10" ht="12.75">
      <c r="A408" s="231"/>
      <c r="B408" s="232"/>
      <c r="C408" s="434"/>
      <c r="D408" s="234"/>
      <c r="E408" s="235"/>
      <c r="F408" s="236"/>
      <c r="G408" s="228"/>
      <c r="H408" s="229"/>
      <c r="I408" s="230"/>
      <c r="J408" s="416"/>
    </row>
    <row r="409" spans="1:10" ht="12.75">
      <c r="A409" s="231"/>
      <c r="B409" s="232" t="s">
        <v>140</v>
      </c>
      <c r="C409" s="434" t="s">
        <v>378</v>
      </c>
      <c r="D409" s="234"/>
      <c r="E409" s="235"/>
      <c r="F409" s="236"/>
      <c r="G409" s="228">
        <f>G410+G412</f>
        <v>0</v>
      </c>
      <c r="H409" s="229">
        <f>H410+H412</f>
        <v>5000</v>
      </c>
      <c r="I409" s="230">
        <f>I410+I412</f>
        <v>6000</v>
      </c>
      <c r="J409" s="416"/>
    </row>
    <row r="410" spans="1:10" ht="12.75">
      <c r="A410" s="231"/>
      <c r="B410" s="232" t="s">
        <v>415</v>
      </c>
      <c r="C410" s="434" t="s">
        <v>563</v>
      </c>
      <c r="D410" s="234"/>
      <c r="E410" s="235"/>
      <c r="F410" s="236"/>
      <c r="G410" s="228">
        <f>G411</f>
        <v>0</v>
      </c>
      <c r="H410" s="229">
        <f>H411</f>
        <v>0</v>
      </c>
      <c r="I410" s="230">
        <f>I411</f>
        <v>0</v>
      </c>
      <c r="J410" s="416"/>
    </row>
    <row r="411" spans="1:10" ht="12.75">
      <c r="A411" s="231" t="s">
        <v>441</v>
      </c>
      <c r="B411" s="232" t="s">
        <v>416</v>
      </c>
      <c r="C411" s="434" t="s">
        <v>417</v>
      </c>
      <c r="D411" s="234" t="s">
        <v>778</v>
      </c>
      <c r="E411" s="235"/>
      <c r="F411" s="236"/>
      <c r="G411" s="35"/>
      <c r="H411" s="229">
        <f>G411/6*12</f>
        <v>0</v>
      </c>
      <c r="I411" s="36">
        <f>ROUND(H411*1.1445,-3)</f>
        <v>0</v>
      </c>
      <c r="J411" s="416"/>
    </row>
    <row r="412" spans="1:10" ht="12.75">
      <c r="A412" s="231" t="s">
        <v>441</v>
      </c>
      <c r="B412" s="232" t="s">
        <v>409</v>
      </c>
      <c r="C412" s="434" t="s">
        <v>398</v>
      </c>
      <c r="D412" s="234"/>
      <c r="E412" s="235"/>
      <c r="F412" s="236"/>
      <c r="G412" s="230">
        <f>SUM(G413:G414)</f>
        <v>0</v>
      </c>
      <c r="H412" s="230">
        <f>SUM(H413:H414)</f>
        <v>5000</v>
      </c>
      <c r="I412" s="230">
        <f>SUM(I413:I414)</f>
        <v>6000</v>
      </c>
      <c r="J412" s="416"/>
    </row>
    <row r="413" spans="1:10" ht="12.75">
      <c r="A413" s="252" t="s">
        <v>441</v>
      </c>
      <c r="B413" s="253" t="s">
        <v>974</v>
      </c>
      <c r="C413" s="439" t="s">
        <v>972</v>
      </c>
      <c r="D413" s="234" t="s">
        <v>778</v>
      </c>
      <c r="E413" s="235"/>
      <c r="F413" s="236"/>
      <c r="G413" s="45"/>
      <c r="H413" s="229">
        <f>G413/6*12</f>
        <v>0</v>
      </c>
      <c r="I413" s="46">
        <f>ROUND(H413*1.1445,-3)</f>
        <v>0</v>
      </c>
      <c r="J413" s="416"/>
    </row>
    <row r="414" spans="1:10" ht="12.75">
      <c r="A414" s="231" t="s">
        <v>441</v>
      </c>
      <c r="B414" s="232" t="s">
        <v>975</v>
      </c>
      <c r="C414" s="434" t="s">
        <v>973</v>
      </c>
      <c r="D414" s="234" t="s">
        <v>778</v>
      </c>
      <c r="E414" s="235"/>
      <c r="F414" s="236"/>
      <c r="G414" s="35"/>
      <c r="H414" s="229">
        <v>5000</v>
      </c>
      <c r="I414" s="36">
        <f>ROUND(H414*1.1445,-3)</f>
        <v>6000</v>
      </c>
      <c r="J414" s="416"/>
    </row>
    <row r="415" spans="1:10" ht="12.75">
      <c r="A415" s="231"/>
      <c r="B415" s="232"/>
      <c r="C415" s="434"/>
      <c r="D415" s="234"/>
      <c r="E415" s="235"/>
      <c r="F415" s="236"/>
      <c r="G415" s="228"/>
      <c r="H415" s="229"/>
      <c r="I415" s="230"/>
      <c r="J415" s="416"/>
    </row>
    <row r="416" spans="1:10" ht="12.75">
      <c r="A416" s="231"/>
      <c r="B416" s="232" t="s">
        <v>141</v>
      </c>
      <c r="C416" s="434" t="s">
        <v>233</v>
      </c>
      <c r="D416" s="234"/>
      <c r="E416" s="235"/>
      <c r="F416" s="236"/>
      <c r="G416" s="228">
        <f>G417+G425+G433+G465</f>
        <v>159928.93</v>
      </c>
      <c r="H416" s="229">
        <f>H417+H425+H433+H465</f>
        <v>12450000</v>
      </c>
      <c r="I416" s="230">
        <f>I417+I425+I433+I465</f>
        <v>15000000</v>
      </c>
      <c r="J416" s="416"/>
    </row>
    <row r="417" spans="1:10" ht="12.75">
      <c r="A417" s="231"/>
      <c r="B417" s="232" t="s">
        <v>142</v>
      </c>
      <c r="C417" s="434" t="s">
        <v>379</v>
      </c>
      <c r="D417" s="234"/>
      <c r="E417" s="235"/>
      <c r="F417" s="236"/>
      <c r="G417" s="228">
        <f>G418</f>
        <v>0</v>
      </c>
      <c r="H417" s="229">
        <f>H418</f>
        <v>0</v>
      </c>
      <c r="I417" s="230">
        <f>I418</f>
        <v>0</v>
      </c>
      <c r="J417" s="416"/>
    </row>
    <row r="418" spans="1:10" ht="12.75">
      <c r="A418" s="231"/>
      <c r="B418" s="232" t="s">
        <v>143</v>
      </c>
      <c r="C418" s="434" t="s">
        <v>380</v>
      </c>
      <c r="D418" s="234"/>
      <c r="E418" s="235"/>
      <c r="F418" s="236"/>
      <c r="G418" s="228">
        <f>G419+G423</f>
        <v>0</v>
      </c>
      <c r="H418" s="229">
        <f>H419+H423</f>
        <v>0</v>
      </c>
      <c r="I418" s="230">
        <f>I419+I423</f>
        <v>0</v>
      </c>
      <c r="J418" s="416"/>
    </row>
    <row r="419" spans="1:10" ht="12.75">
      <c r="A419" s="231"/>
      <c r="B419" s="232" t="s">
        <v>144</v>
      </c>
      <c r="C419" s="434" t="s">
        <v>469</v>
      </c>
      <c r="D419" s="234"/>
      <c r="E419" s="235"/>
      <c r="F419" s="236"/>
      <c r="G419" s="228">
        <f>SUM(G420:G422)</f>
        <v>0</v>
      </c>
      <c r="H419" s="229">
        <f>SUM(H420:H422)</f>
        <v>0</v>
      </c>
      <c r="I419" s="230">
        <f>SUM(I420:I422)</f>
        <v>0</v>
      </c>
      <c r="J419" s="416"/>
    </row>
    <row r="420" spans="1:10" ht="12.75">
      <c r="A420" s="231" t="s">
        <v>441</v>
      </c>
      <c r="B420" s="232" t="s">
        <v>830</v>
      </c>
      <c r="C420" s="434" t="s">
        <v>832</v>
      </c>
      <c r="D420" s="234" t="s">
        <v>792</v>
      </c>
      <c r="E420" s="235"/>
      <c r="F420" s="236"/>
      <c r="G420" s="35"/>
      <c r="H420" s="229">
        <f>G420/6*12</f>
        <v>0</v>
      </c>
      <c r="I420" s="36">
        <f>ROUND(H420*1.1445,-3)</f>
        <v>0</v>
      </c>
      <c r="J420" s="416"/>
    </row>
    <row r="421" spans="1:10" ht="12.75">
      <c r="A421" s="244" t="s">
        <v>439</v>
      </c>
      <c r="B421" s="260" t="s">
        <v>831</v>
      </c>
      <c r="C421" s="446" t="s">
        <v>833</v>
      </c>
      <c r="D421" s="234" t="s">
        <v>793</v>
      </c>
      <c r="E421" s="235"/>
      <c r="F421" s="236"/>
      <c r="G421" s="202"/>
      <c r="H421" s="229">
        <f>G421/6*12</f>
        <v>0</v>
      </c>
      <c r="I421" s="198">
        <f>ROUND(H421*1.1445,-3)</f>
        <v>0</v>
      </c>
      <c r="J421" s="416"/>
    </row>
    <row r="422" spans="1:10" ht="12.75">
      <c r="A422" s="231" t="s">
        <v>441</v>
      </c>
      <c r="B422" s="232" t="s">
        <v>179</v>
      </c>
      <c r="C422" s="434" t="s">
        <v>381</v>
      </c>
      <c r="D422" s="234" t="s">
        <v>794</v>
      </c>
      <c r="E422" s="235"/>
      <c r="F422" s="236"/>
      <c r="G422" s="35"/>
      <c r="H422" s="229">
        <f>G422/6*12</f>
        <v>0</v>
      </c>
      <c r="I422" s="36">
        <f>ROUND(H422*1.1445,-3)</f>
        <v>0</v>
      </c>
      <c r="J422" s="416"/>
    </row>
    <row r="423" spans="1:10" ht="12.75">
      <c r="A423" s="231" t="s">
        <v>441</v>
      </c>
      <c r="B423" s="232" t="s">
        <v>834</v>
      </c>
      <c r="C423" s="434" t="s">
        <v>835</v>
      </c>
      <c r="D423" s="234" t="s">
        <v>794</v>
      </c>
      <c r="E423" s="235"/>
      <c r="F423" s="236"/>
      <c r="G423" s="35"/>
      <c r="H423" s="229">
        <f>G423/6*12</f>
        <v>0</v>
      </c>
      <c r="I423" s="36">
        <f>ROUND(H423*1.1445,-3)</f>
        <v>0</v>
      </c>
      <c r="J423" s="416"/>
    </row>
    <row r="424" spans="1:10" ht="12.75">
      <c r="A424" s="231"/>
      <c r="B424" s="232"/>
      <c r="C424" s="434"/>
      <c r="D424" s="234"/>
      <c r="E424" s="235"/>
      <c r="F424" s="236"/>
      <c r="G424" s="228"/>
      <c r="H424" s="229"/>
      <c r="I424" s="230"/>
      <c r="J424" s="416"/>
    </row>
    <row r="425" spans="1:10" ht="12.75">
      <c r="A425" s="231"/>
      <c r="B425" s="232" t="s">
        <v>145</v>
      </c>
      <c r="C425" s="434" t="s">
        <v>382</v>
      </c>
      <c r="D425" s="234"/>
      <c r="E425" s="235"/>
      <c r="F425" s="236"/>
      <c r="G425" s="228">
        <f>G426+G430</f>
        <v>0</v>
      </c>
      <c r="H425" s="229">
        <f>H426+H430</f>
        <v>50000</v>
      </c>
      <c r="I425" s="230">
        <f>I426+I430</f>
        <v>100000</v>
      </c>
      <c r="J425" s="416"/>
    </row>
    <row r="426" spans="1:10" ht="12.75">
      <c r="A426" s="231"/>
      <c r="B426" s="232" t="s">
        <v>146</v>
      </c>
      <c r="C426" s="434" t="s">
        <v>383</v>
      </c>
      <c r="D426" s="234"/>
      <c r="E426" s="235"/>
      <c r="F426" s="236"/>
      <c r="G426" s="228">
        <f>G427+G428</f>
        <v>0</v>
      </c>
      <c r="H426" s="229">
        <f>H427+H428</f>
        <v>50000</v>
      </c>
      <c r="I426" s="230">
        <f>I427+I428</f>
        <v>100000</v>
      </c>
      <c r="J426" s="416"/>
    </row>
    <row r="427" spans="1:10" ht="12.75">
      <c r="A427" s="231" t="s">
        <v>441</v>
      </c>
      <c r="B427" s="232" t="s">
        <v>242</v>
      </c>
      <c r="C427" s="434" t="s">
        <v>399</v>
      </c>
      <c r="D427" s="234" t="s">
        <v>778</v>
      </c>
      <c r="E427" s="235"/>
      <c r="F427" s="236"/>
      <c r="G427" s="35"/>
      <c r="H427" s="229">
        <f>G427/6*12</f>
        <v>0</v>
      </c>
      <c r="I427" s="36">
        <f>ROUND(H427*1.1445,-3)</f>
        <v>0</v>
      </c>
      <c r="J427" s="416"/>
    </row>
    <row r="428" spans="1:10" ht="12.75">
      <c r="A428" s="231" t="s">
        <v>441</v>
      </c>
      <c r="B428" s="232" t="s">
        <v>243</v>
      </c>
      <c r="C428" s="434" t="s">
        <v>244</v>
      </c>
      <c r="D428" s="234" t="s">
        <v>778</v>
      </c>
      <c r="E428" s="235"/>
      <c r="F428" s="236"/>
      <c r="G428" s="35"/>
      <c r="H428" s="229">
        <v>50000</v>
      </c>
      <c r="I428" s="36">
        <v>100000</v>
      </c>
      <c r="J428" s="416"/>
    </row>
    <row r="429" spans="1:10" ht="12.75">
      <c r="A429" s="231"/>
      <c r="B429" s="232"/>
      <c r="C429" s="434"/>
      <c r="D429" s="234"/>
      <c r="E429" s="235"/>
      <c r="F429" s="236"/>
      <c r="G429" s="228"/>
      <c r="H429" s="229"/>
      <c r="I429" s="230"/>
      <c r="J429" s="416"/>
    </row>
    <row r="430" spans="1:10" ht="12.75">
      <c r="A430" s="231"/>
      <c r="B430" s="232" t="s">
        <v>147</v>
      </c>
      <c r="C430" s="434" t="s">
        <v>384</v>
      </c>
      <c r="D430" s="234"/>
      <c r="E430" s="235"/>
      <c r="F430" s="236"/>
      <c r="G430" s="228">
        <f>G431</f>
        <v>0</v>
      </c>
      <c r="H430" s="229">
        <f>H431</f>
        <v>0</v>
      </c>
      <c r="I430" s="230">
        <f>I431</f>
        <v>0</v>
      </c>
      <c r="J430" s="416"/>
    </row>
    <row r="431" spans="1:10" ht="12.75">
      <c r="A431" s="231" t="s">
        <v>441</v>
      </c>
      <c r="B431" s="232" t="s">
        <v>180</v>
      </c>
      <c r="C431" s="434" t="s">
        <v>465</v>
      </c>
      <c r="D431" s="234" t="s">
        <v>778</v>
      </c>
      <c r="E431" s="235"/>
      <c r="F431" s="236"/>
      <c r="G431" s="35"/>
      <c r="H431" s="229">
        <f>G431/6*12</f>
        <v>0</v>
      </c>
      <c r="I431" s="36">
        <f>ROUND(H431*1.1445,-3)</f>
        <v>0</v>
      </c>
      <c r="J431" s="416"/>
    </row>
    <row r="432" spans="1:10" ht="12.75">
      <c r="A432" s="231"/>
      <c r="B432" s="232"/>
      <c r="C432" s="434"/>
      <c r="D432" s="234"/>
      <c r="E432" s="235"/>
      <c r="F432" s="236"/>
      <c r="G432" s="228"/>
      <c r="H432" s="229"/>
      <c r="I432" s="230"/>
      <c r="J432" s="416"/>
    </row>
    <row r="433" spans="1:10" ht="12.75">
      <c r="A433" s="231"/>
      <c r="B433" s="232" t="s">
        <v>148</v>
      </c>
      <c r="C433" s="434" t="s">
        <v>385</v>
      </c>
      <c r="D433" s="234"/>
      <c r="E433" s="235"/>
      <c r="F433" s="236"/>
      <c r="G433" s="228">
        <f>G434+G444+G446</f>
        <v>159928.93</v>
      </c>
      <c r="H433" s="229">
        <f>H434+H444+H446</f>
        <v>12300000</v>
      </c>
      <c r="I433" s="230">
        <f>I434+I444+I446</f>
        <v>14900000</v>
      </c>
      <c r="J433" s="416"/>
    </row>
    <row r="434" spans="1:10" ht="12.75">
      <c r="A434" s="231"/>
      <c r="B434" s="232" t="s">
        <v>149</v>
      </c>
      <c r="C434" s="434" t="s">
        <v>272</v>
      </c>
      <c r="D434" s="234"/>
      <c r="E434" s="235"/>
      <c r="F434" s="236"/>
      <c r="G434" s="228">
        <f>G435+G440</f>
        <v>21000</v>
      </c>
      <c r="H434" s="229">
        <f>H435+H440</f>
        <v>200000</v>
      </c>
      <c r="I434" s="230">
        <f>I435+I440</f>
        <v>200000</v>
      </c>
      <c r="J434" s="416"/>
    </row>
    <row r="435" spans="1:10" ht="12.75">
      <c r="A435" s="231"/>
      <c r="B435" s="232" t="s">
        <v>150</v>
      </c>
      <c r="C435" s="434" t="s">
        <v>101</v>
      </c>
      <c r="D435" s="234"/>
      <c r="E435" s="235"/>
      <c r="F435" s="236"/>
      <c r="G435" s="228">
        <f>SUM(G436:G438)</f>
        <v>21000</v>
      </c>
      <c r="H435" s="229">
        <f>SUM(H436:H438)</f>
        <v>200000</v>
      </c>
      <c r="I435" s="230">
        <f>SUM(I436:I438)</f>
        <v>200000</v>
      </c>
      <c r="J435" s="416"/>
    </row>
    <row r="436" spans="1:10" ht="12.75">
      <c r="A436" s="244" t="s">
        <v>439</v>
      </c>
      <c r="B436" s="245" t="s">
        <v>181</v>
      </c>
      <c r="C436" s="438" t="s">
        <v>386</v>
      </c>
      <c r="D436" s="234" t="s">
        <v>779</v>
      </c>
      <c r="E436" s="235"/>
      <c r="F436" s="236"/>
      <c r="G436" s="37">
        <v>21000</v>
      </c>
      <c r="H436" s="229">
        <v>200000</v>
      </c>
      <c r="I436" s="198">
        <v>200000</v>
      </c>
      <c r="J436" s="416"/>
    </row>
    <row r="437" spans="1:10" ht="12.75">
      <c r="A437" s="231" t="s">
        <v>468</v>
      </c>
      <c r="B437" s="232" t="s">
        <v>182</v>
      </c>
      <c r="C437" s="434" t="s">
        <v>466</v>
      </c>
      <c r="D437" s="234" t="s">
        <v>787</v>
      </c>
      <c r="E437" s="235"/>
      <c r="F437" s="236"/>
      <c r="G437" s="35"/>
      <c r="H437" s="229">
        <f>G437/6*12</f>
        <v>0</v>
      </c>
      <c r="I437" s="36">
        <f>ROUND(H437*1.1445,-3)</f>
        <v>0</v>
      </c>
      <c r="J437" s="416"/>
    </row>
    <row r="438" spans="1:10" ht="12.75">
      <c r="A438" s="231" t="s">
        <v>441</v>
      </c>
      <c r="B438" s="232" t="s">
        <v>183</v>
      </c>
      <c r="C438" s="434" t="s">
        <v>387</v>
      </c>
      <c r="D438" s="234" t="s">
        <v>778</v>
      </c>
      <c r="E438" s="235"/>
      <c r="F438" s="236"/>
      <c r="G438" s="35"/>
      <c r="H438" s="229">
        <f>G438/6*12</f>
        <v>0</v>
      </c>
      <c r="I438" s="36">
        <f>ROUND(H438*1.1445,-3)</f>
        <v>0</v>
      </c>
      <c r="J438" s="416"/>
    </row>
    <row r="439" spans="1:10" ht="12.75">
      <c r="A439" s="231"/>
      <c r="B439" s="232"/>
      <c r="C439" s="434"/>
      <c r="D439" s="234"/>
      <c r="E439" s="235"/>
      <c r="F439" s="236"/>
      <c r="G439" s="228"/>
      <c r="H439" s="229"/>
      <c r="I439" s="230"/>
      <c r="J439" s="416"/>
    </row>
    <row r="440" spans="1:10" ht="12.75">
      <c r="A440" s="231"/>
      <c r="B440" s="232" t="s">
        <v>151</v>
      </c>
      <c r="C440" s="434" t="s">
        <v>116</v>
      </c>
      <c r="D440" s="234"/>
      <c r="E440" s="235"/>
      <c r="F440" s="236"/>
      <c r="G440" s="228">
        <f>SUM(G441:G443)</f>
        <v>0</v>
      </c>
      <c r="H440" s="229">
        <f>SUM(H441:H443)</f>
        <v>0</v>
      </c>
      <c r="I440" s="230">
        <f>SUM(I441:I443)</f>
        <v>0</v>
      </c>
      <c r="J440" s="416"/>
    </row>
    <row r="441" spans="1:10" ht="12.75">
      <c r="A441" s="244" t="s">
        <v>439</v>
      </c>
      <c r="B441" s="245" t="s">
        <v>184</v>
      </c>
      <c r="C441" s="438" t="s">
        <v>386</v>
      </c>
      <c r="D441" s="234" t="s">
        <v>779</v>
      </c>
      <c r="E441" s="235"/>
      <c r="F441" s="236"/>
      <c r="G441" s="37"/>
      <c r="H441" s="229">
        <f>G441/6*12</f>
        <v>0</v>
      </c>
      <c r="I441" s="38">
        <f>ROUND(H441*1.1445,-3)</f>
        <v>0</v>
      </c>
      <c r="J441" s="416"/>
    </row>
    <row r="442" spans="1:10" ht="12.75">
      <c r="A442" s="231" t="s">
        <v>468</v>
      </c>
      <c r="B442" s="232" t="s">
        <v>185</v>
      </c>
      <c r="C442" s="434" t="s">
        <v>388</v>
      </c>
      <c r="D442" s="234" t="s">
        <v>787</v>
      </c>
      <c r="E442" s="235"/>
      <c r="F442" s="236"/>
      <c r="G442" s="35"/>
      <c r="H442" s="229">
        <f>G442/6*12</f>
        <v>0</v>
      </c>
      <c r="I442" s="36">
        <f>ROUND(H442*1.1445,-3)</f>
        <v>0</v>
      </c>
      <c r="J442" s="416"/>
    </row>
    <row r="443" spans="1:10" ht="12.75">
      <c r="A443" s="231" t="s">
        <v>441</v>
      </c>
      <c r="B443" s="232" t="s">
        <v>186</v>
      </c>
      <c r="C443" s="434" t="s">
        <v>340</v>
      </c>
      <c r="D443" s="234" t="s">
        <v>778</v>
      </c>
      <c r="E443" s="235"/>
      <c r="F443" s="236"/>
      <c r="G443" s="35"/>
      <c r="H443" s="229">
        <f>G443/6*12</f>
        <v>0</v>
      </c>
      <c r="I443" s="36">
        <f>ROUND(H443*1.1445,-3)</f>
        <v>0</v>
      </c>
      <c r="J443" s="416"/>
    </row>
    <row r="444" spans="1:10" ht="12.75">
      <c r="A444" s="231" t="s">
        <v>441</v>
      </c>
      <c r="B444" s="232" t="s">
        <v>717</v>
      </c>
      <c r="C444" s="434" t="s">
        <v>718</v>
      </c>
      <c r="D444" s="234" t="s">
        <v>778</v>
      </c>
      <c r="E444" s="235"/>
      <c r="F444" s="236"/>
      <c r="G444" s="35"/>
      <c r="H444" s="229">
        <f>G444/6*12</f>
        <v>0</v>
      </c>
      <c r="I444" s="36">
        <f>ROUND(H444*1.1445,-3)</f>
        <v>0</v>
      </c>
      <c r="J444" s="416"/>
    </row>
    <row r="445" spans="1:10" ht="12.75">
      <c r="A445" s="231"/>
      <c r="B445" s="232"/>
      <c r="C445" s="434"/>
      <c r="D445" s="234"/>
      <c r="E445" s="235"/>
      <c r="F445" s="236"/>
      <c r="G445" s="228"/>
      <c r="H445" s="229"/>
      <c r="I445" s="230"/>
      <c r="J445" s="416"/>
    </row>
    <row r="446" spans="1:10" ht="12.75">
      <c r="A446" s="231"/>
      <c r="B446" s="232" t="s">
        <v>152</v>
      </c>
      <c r="C446" s="434" t="s">
        <v>344</v>
      </c>
      <c r="D446" s="234"/>
      <c r="E446" s="235"/>
      <c r="F446" s="236"/>
      <c r="G446" s="228">
        <f>G447+G456</f>
        <v>138928.93</v>
      </c>
      <c r="H446" s="229">
        <f>H447+H456</f>
        <v>12100000</v>
      </c>
      <c r="I446" s="230">
        <f>I447+I456</f>
        <v>14700000</v>
      </c>
      <c r="J446" s="416"/>
    </row>
    <row r="447" spans="1:10" ht="12.75">
      <c r="A447" s="231"/>
      <c r="B447" s="232" t="s">
        <v>153</v>
      </c>
      <c r="C447" s="434" t="s">
        <v>389</v>
      </c>
      <c r="D447" s="234"/>
      <c r="E447" s="235"/>
      <c r="F447" s="236"/>
      <c r="G447" s="228">
        <f>G448+G449+G452+G453+G454</f>
        <v>138928.93</v>
      </c>
      <c r="H447" s="229">
        <f>H448+H449+H452+H453+H454</f>
        <v>12100000</v>
      </c>
      <c r="I447" s="230">
        <f>I448+I449+I452+I453+I454</f>
        <v>14700000</v>
      </c>
      <c r="J447" s="416"/>
    </row>
    <row r="448" spans="1:10" ht="12.75">
      <c r="A448" s="244" t="s">
        <v>439</v>
      </c>
      <c r="B448" s="245" t="s">
        <v>187</v>
      </c>
      <c r="C448" s="438" t="s">
        <v>390</v>
      </c>
      <c r="D448" s="234" t="s">
        <v>789</v>
      </c>
      <c r="E448" s="235"/>
      <c r="F448" s="236"/>
      <c r="G448" s="37"/>
      <c r="H448" s="229">
        <v>600000</v>
      </c>
      <c r="I448" s="198">
        <v>324000</v>
      </c>
      <c r="J448" s="416"/>
    </row>
    <row r="449" spans="1:10" ht="12.75">
      <c r="A449" s="231"/>
      <c r="B449" s="232" t="s">
        <v>188</v>
      </c>
      <c r="C449" s="434" t="s">
        <v>391</v>
      </c>
      <c r="D449" s="234"/>
      <c r="E449" s="235"/>
      <c r="F449" s="236"/>
      <c r="G449" s="228">
        <f>SUM(G450:G451)</f>
        <v>0</v>
      </c>
      <c r="H449" s="229">
        <f>SUM(H450:H451)</f>
        <v>3100000</v>
      </c>
      <c r="I449" s="47">
        <f>I450+I451</f>
        <v>3500000</v>
      </c>
      <c r="J449" s="416"/>
    </row>
    <row r="450" spans="1:10" ht="12.75">
      <c r="A450" s="231" t="s">
        <v>468</v>
      </c>
      <c r="B450" s="232" t="s">
        <v>959</v>
      </c>
      <c r="C450" s="434" t="s">
        <v>957</v>
      </c>
      <c r="D450" s="234" t="s">
        <v>788</v>
      </c>
      <c r="E450" s="235"/>
      <c r="F450" s="236"/>
      <c r="G450" s="35"/>
      <c r="H450" s="229">
        <v>3100000</v>
      </c>
      <c r="I450" s="35">
        <v>3500000</v>
      </c>
      <c r="J450" s="416"/>
    </row>
    <row r="451" spans="1:10" ht="12.75">
      <c r="A451" s="252" t="s">
        <v>961</v>
      </c>
      <c r="B451" s="253" t="s">
        <v>960</v>
      </c>
      <c r="C451" s="439" t="s">
        <v>958</v>
      </c>
      <c r="D451" s="234" t="s">
        <v>788</v>
      </c>
      <c r="E451" s="235"/>
      <c r="F451" s="236"/>
      <c r="G451" s="45"/>
      <c r="H451" s="229">
        <f>G451/6*12</f>
        <v>0</v>
      </c>
      <c r="I451" s="46">
        <f>ROUND(H451*1.1445,-3)</f>
        <v>0</v>
      </c>
      <c r="J451" s="416"/>
    </row>
    <row r="452" spans="1:10" ht="12.75">
      <c r="A452" s="231" t="s">
        <v>441</v>
      </c>
      <c r="B452" s="232" t="s">
        <v>189</v>
      </c>
      <c r="C452" s="434" t="s">
        <v>473</v>
      </c>
      <c r="D452" s="234" t="s">
        <v>791</v>
      </c>
      <c r="E452" s="235"/>
      <c r="F452" s="236"/>
      <c r="G452" s="35"/>
      <c r="H452" s="229">
        <v>400000</v>
      </c>
      <c r="I452" s="35"/>
      <c r="J452" s="416"/>
    </row>
    <row r="453" spans="1:10" ht="12.75">
      <c r="A453" s="231" t="s">
        <v>441</v>
      </c>
      <c r="B453" s="232" t="s">
        <v>190</v>
      </c>
      <c r="C453" s="434" t="s">
        <v>392</v>
      </c>
      <c r="D453" s="234" t="s">
        <v>791</v>
      </c>
      <c r="E453" s="235"/>
      <c r="F453" s="236"/>
      <c r="G453" s="35"/>
      <c r="H453" s="229">
        <v>4700000</v>
      </c>
      <c r="I453" s="35"/>
      <c r="J453" s="416"/>
    </row>
    <row r="454" spans="1:10" ht="12.75">
      <c r="A454" s="231" t="s">
        <v>441</v>
      </c>
      <c r="B454" s="232" t="s">
        <v>191</v>
      </c>
      <c r="C454" s="434" t="s">
        <v>241</v>
      </c>
      <c r="D454" s="234" t="s">
        <v>791</v>
      </c>
      <c r="E454" s="235"/>
      <c r="F454" s="236"/>
      <c r="G454" s="35">
        <v>138928.93</v>
      </c>
      <c r="H454" s="229">
        <v>3300000</v>
      </c>
      <c r="I454" s="35">
        <f>10600000+276000</f>
        <v>10876000</v>
      </c>
      <c r="J454" s="416"/>
    </row>
    <row r="455" spans="1:10" ht="12.75">
      <c r="A455" s="231"/>
      <c r="B455" s="232"/>
      <c r="C455" s="434"/>
      <c r="D455" s="234"/>
      <c r="E455" s="235"/>
      <c r="F455" s="236"/>
      <c r="G455" s="228"/>
      <c r="H455" s="229"/>
      <c r="I455" s="230"/>
      <c r="J455" s="416"/>
    </row>
    <row r="456" spans="1:10" ht="12.75">
      <c r="A456" s="231"/>
      <c r="B456" s="232" t="s">
        <v>154</v>
      </c>
      <c r="C456" s="434" t="s">
        <v>400</v>
      </c>
      <c r="D456" s="234"/>
      <c r="E456" s="235"/>
      <c r="F456" s="236"/>
      <c r="G456" s="228">
        <f>SUM(G457:G463)</f>
        <v>0</v>
      </c>
      <c r="H456" s="229">
        <f>SUM(H457:H463)</f>
        <v>0</v>
      </c>
      <c r="I456" s="230">
        <f>I457+I458+SUM(I461:I463)</f>
        <v>0</v>
      </c>
      <c r="J456" s="416"/>
    </row>
    <row r="457" spans="1:10" ht="12.75">
      <c r="A457" s="244" t="s">
        <v>439</v>
      </c>
      <c r="B457" s="245" t="s">
        <v>192</v>
      </c>
      <c r="C457" s="438" t="s">
        <v>393</v>
      </c>
      <c r="D457" s="234" t="s">
        <v>789</v>
      </c>
      <c r="E457" s="235"/>
      <c r="F457" s="236"/>
      <c r="G457" s="37"/>
      <c r="H457" s="229">
        <f>G457/6*12</f>
        <v>0</v>
      </c>
      <c r="I457" s="38">
        <f>ROUND(H457*1.1445,-3)</f>
        <v>0</v>
      </c>
      <c r="J457" s="416"/>
    </row>
    <row r="458" spans="1:10" ht="12.75">
      <c r="A458" s="231" t="s">
        <v>468</v>
      </c>
      <c r="B458" s="232" t="s">
        <v>193</v>
      </c>
      <c r="C458" s="434" t="s">
        <v>394</v>
      </c>
      <c r="D458" s="234"/>
      <c r="E458" s="235"/>
      <c r="F458" s="236"/>
      <c r="G458" s="47">
        <f>SUM(G459:G460)</f>
        <v>0</v>
      </c>
      <c r="H458" s="47">
        <f>SUM(H459:H460)</f>
        <v>0</v>
      </c>
      <c r="I458" s="47">
        <f>SUM(I459:I460)</f>
        <v>0</v>
      </c>
      <c r="J458" s="416"/>
    </row>
    <row r="459" spans="1:10" ht="12.75">
      <c r="A459" s="252" t="s">
        <v>468</v>
      </c>
      <c r="B459" s="253" t="s">
        <v>968</v>
      </c>
      <c r="C459" s="439" t="s">
        <v>970</v>
      </c>
      <c r="D459" s="234" t="s">
        <v>788</v>
      </c>
      <c r="E459" s="235"/>
      <c r="F459" s="236"/>
      <c r="G459" s="45"/>
      <c r="H459" s="229"/>
      <c r="I459" s="46">
        <f>ROUND(H459*1.1445,-3)</f>
        <v>0</v>
      </c>
      <c r="J459" s="416"/>
    </row>
    <row r="460" spans="1:10" ht="12.75">
      <c r="A460" s="231" t="s">
        <v>468</v>
      </c>
      <c r="B460" s="232" t="s">
        <v>969</v>
      </c>
      <c r="C460" s="434" t="s">
        <v>971</v>
      </c>
      <c r="D460" s="234" t="s">
        <v>788</v>
      </c>
      <c r="E460" s="235"/>
      <c r="F460" s="236"/>
      <c r="G460" s="35"/>
      <c r="H460" s="229"/>
      <c r="I460" s="36">
        <f>ROUND(H460*1.1445,-3)</f>
        <v>0</v>
      </c>
      <c r="J460" s="416"/>
    </row>
    <row r="461" spans="1:10" ht="12.75">
      <c r="A461" s="231" t="s">
        <v>441</v>
      </c>
      <c r="B461" s="232" t="s">
        <v>194</v>
      </c>
      <c r="C461" s="434" t="s">
        <v>395</v>
      </c>
      <c r="D461" s="234" t="s">
        <v>791</v>
      </c>
      <c r="E461" s="235"/>
      <c r="F461" s="236"/>
      <c r="G461" s="35"/>
      <c r="H461" s="229">
        <f>G461/6*12</f>
        <v>0</v>
      </c>
      <c r="I461" s="36"/>
      <c r="J461" s="416"/>
    </row>
    <row r="462" spans="1:10" ht="12.75">
      <c r="A462" s="231" t="s">
        <v>441</v>
      </c>
      <c r="B462" s="232" t="s">
        <v>195</v>
      </c>
      <c r="C462" s="434" t="s">
        <v>396</v>
      </c>
      <c r="D462" s="234" t="s">
        <v>791</v>
      </c>
      <c r="E462" s="235"/>
      <c r="F462" s="236"/>
      <c r="G462" s="35"/>
      <c r="H462" s="229">
        <f>G462/6*12</f>
        <v>0</v>
      </c>
      <c r="I462" s="36">
        <f>ROUND(H462*1.1445,-3)</f>
        <v>0</v>
      </c>
      <c r="J462" s="416"/>
    </row>
    <row r="463" spans="1:10" ht="12.75">
      <c r="A463" s="231" t="s">
        <v>441</v>
      </c>
      <c r="B463" s="232" t="s">
        <v>196</v>
      </c>
      <c r="C463" s="434" t="s">
        <v>352</v>
      </c>
      <c r="D463" s="234" t="s">
        <v>791</v>
      </c>
      <c r="E463" s="235"/>
      <c r="F463" s="236"/>
      <c r="G463" s="35"/>
      <c r="H463" s="229">
        <f>G463/6*12</f>
        <v>0</v>
      </c>
      <c r="I463" s="36">
        <f>ROUND(H463*1.1445,-3)</f>
        <v>0</v>
      </c>
      <c r="J463" s="416"/>
    </row>
    <row r="464" spans="1:16" s="261" customFormat="1" ht="12.75">
      <c r="A464" s="231"/>
      <c r="B464" s="232"/>
      <c r="C464" s="434"/>
      <c r="D464" s="234"/>
      <c r="E464" s="235"/>
      <c r="F464" s="236"/>
      <c r="G464" s="228"/>
      <c r="H464" s="229"/>
      <c r="I464" s="230"/>
      <c r="J464" s="416"/>
      <c r="P464" s="262"/>
    </row>
    <row r="465" spans="1:10" ht="12.75">
      <c r="A465" s="231"/>
      <c r="B465" s="232" t="s">
        <v>155</v>
      </c>
      <c r="C465" s="434" t="s">
        <v>397</v>
      </c>
      <c r="D465" s="234"/>
      <c r="E465" s="235"/>
      <c r="F465" s="236"/>
      <c r="G465" s="228">
        <f>G466</f>
        <v>0</v>
      </c>
      <c r="H465" s="229">
        <f>H466</f>
        <v>100000</v>
      </c>
      <c r="I465" s="230">
        <f>I466</f>
        <v>0</v>
      </c>
      <c r="J465" s="416"/>
    </row>
    <row r="466" spans="1:10" ht="13.5" thickBot="1">
      <c r="A466" s="263" t="s">
        <v>441</v>
      </c>
      <c r="B466" s="264" t="s">
        <v>197</v>
      </c>
      <c r="C466" s="447" t="s">
        <v>398</v>
      </c>
      <c r="D466" s="266" t="s">
        <v>778</v>
      </c>
      <c r="E466" s="267"/>
      <c r="F466" s="268"/>
      <c r="G466" s="51"/>
      <c r="H466" s="269">
        <v>100000</v>
      </c>
      <c r="I466" s="36"/>
      <c r="J466" s="416"/>
    </row>
    <row r="467" spans="1:10" ht="13.5" thickBot="1">
      <c r="A467" s="582" t="s">
        <v>633</v>
      </c>
      <c r="B467" s="583"/>
      <c r="C467" s="584"/>
      <c r="D467" s="271"/>
      <c r="E467" s="272"/>
      <c r="F467" s="273"/>
      <c r="G467" s="274">
        <f>G7+G416</f>
        <v>17357920.07</v>
      </c>
      <c r="H467" s="275">
        <f>H7+H416</f>
        <v>47384718.788</v>
      </c>
      <c r="I467" s="276">
        <f>I7+I416</f>
        <v>57017000</v>
      </c>
      <c r="J467" s="416"/>
    </row>
    <row r="468" spans="1:10" ht="12.75">
      <c r="A468" s="277"/>
      <c r="B468" s="278"/>
      <c r="C468" s="279"/>
      <c r="D468" s="280"/>
      <c r="E468" s="281"/>
      <c r="F468" s="282"/>
      <c r="G468" s="283"/>
      <c r="H468" s="284"/>
      <c r="I468" s="285"/>
      <c r="J468" s="417"/>
    </row>
    <row r="469" spans="1:10" ht="12.75">
      <c r="A469" s="231"/>
      <c r="B469" s="232" t="s">
        <v>634</v>
      </c>
      <c r="C469" s="434" t="s">
        <v>638</v>
      </c>
      <c r="D469" s="234"/>
      <c r="E469" s="235"/>
      <c r="F469" s="236"/>
      <c r="G469" s="228">
        <f>G470+G495</f>
        <v>565718.1499999999</v>
      </c>
      <c r="H469" s="229">
        <f>H470+H495</f>
        <v>1198000</v>
      </c>
      <c r="I469" s="230">
        <f>I470+I495</f>
        <v>1371000</v>
      </c>
      <c r="J469" s="416"/>
    </row>
    <row r="470" spans="1:10" ht="12.75">
      <c r="A470" s="231"/>
      <c r="B470" s="232" t="s">
        <v>635</v>
      </c>
      <c r="C470" s="434" t="s">
        <v>639</v>
      </c>
      <c r="D470" s="234"/>
      <c r="E470" s="235"/>
      <c r="F470" s="236"/>
      <c r="G470" s="228">
        <f aca="true" t="shared" si="23" ref="G470:I471">G471</f>
        <v>565718.1499999999</v>
      </c>
      <c r="H470" s="229">
        <f t="shared" si="23"/>
        <v>1168000</v>
      </c>
      <c r="I470" s="230">
        <f t="shared" si="23"/>
        <v>1338000</v>
      </c>
      <c r="J470" s="416"/>
    </row>
    <row r="471" spans="1:10" ht="12.75">
      <c r="A471" s="231"/>
      <c r="B471" s="232" t="s">
        <v>636</v>
      </c>
      <c r="C471" s="434" t="s">
        <v>640</v>
      </c>
      <c r="D471" s="234"/>
      <c r="E471" s="235"/>
      <c r="F471" s="236"/>
      <c r="G471" s="228">
        <f t="shared" si="23"/>
        <v>565718.1499999999</v>
      </c>
      <c r="H471" s="229">
        <f t="shared" si="23"/>
        <v>1168000</v>
      </c>
      <c r="I471" s="230">
        <f t="shared" si="23"/>
        <v>1338000</v>
      </c>
      <c r="J471" s="416"/>
    </row>
    <row r="472" spans="1:10" ht="12.75" customHeight="1">
      <c r="A472" s="231"/>
      <c r="B472" s="232" t="s">
        <v>637</v>
      </c>
      <c r="C472" s="434" t="s">
        <v>641</v>
      </c>
      <c r="D472" s="234"/>
      <c r="E472" s="235"/>
      <c r="F472" s="236"/>
      <c r="G472" s="228">
        <f>SUM(G473,G482:G489,G493)</f>
        <v>565718.1499999999</v>
      </c>
      <c r="H472" s="229">
        <f>SUM(H473,H482:H489,H493)</f>
        <v>1168000</v>
      </c>
      <c r="I472" s="230">
        <f>SUM(I473,I482:I489,I493)</f>
        <v>1338000</v>
      </c>
      <c r="J472" s="416"/>
    </row>
    <row r="473" spans="1:10" ht="12.75" customHeight="1">
      <c r="A473" s="231"/>
      <c r="B473" s="232" t="s">
        <v>907</v>
      </c>
      <c r="C473" s="434" t="s">
        <v>914</v>
      </c>
      <c r="D473" s="234"/>
      <c r="E473" s="235"/>
      <c r="F473" s="236"/>
      <c r="G473" s="368">
        <f>SUM(G474:G480)</f>
        <v>371464.3499999999</v>
      </c>
      <c r="H473" s="369">
        <f>SUM(H474:H480)</f>
        <v>882000</v>
      </c>
      <c r="I473" s="47">
        <f>SUM(I474:I480)</f>
        <v>1012000</v>
      </c>
      <c r="J473" s="416"/>
    </row>
    <row r="474" spans="1:10" ht="12.75" customHeight="1">
      <c r="A474" s="246" t="s">
        <v>442</v>
      </c>
      <c r="B474" s="247" t="s">
        <v>897</v>
      </c>
      <c r="C474" s="436" t="s">
        <v>929</v>
      </c>
      <c r="D474" s="234" t="s">
        <v>796</v>
      </c>
      <c r="E474" s="235"/>
      <c r="F474" s="236"/>
      <c r="G474" s="39">
        <v>352435.41</v>
      </c>
      <c r="H474" s="229">
        <v>725000</v>
      </c>
      <c r="I474" s="545">
        <f>ROUND(H474*1.1445,-3)+3000</f>
        <v>833000</v>
      </c>
      <c r="J474" s="416"/>
    </row>
    <row r="475" spans="1:10" ht="12.75" customHeight="1">
      <c r="A475" s="246" t="s">
        <v>442</v>
      </c>
      <c r="B475" s="247" t="s">
        <v>898</v>
      </c>
      <c r="C475" s="436" t="s">
        <v>930</v>
      </c>
      <c r="D475" s="234" t="s">
        <v>796</v>
      </c>
      <c r="E475" s="235"/>
      <c r="F475" s="236"/>
      <c r="G475" s="39"/>
      <c r="H475" s="229">
        <v>146000</v>
      </c>
      <c r="I475" s="40">
        <f aca="true" t="shared" si="24" ref="I475:I487">ROUND(H475*1.1445,-3)</f>
        <v>167000</v>
      </c>
      <c r="J475" s="416"/>
    </row>
    <row r="476" spans="1:10" ht="12.75" customHeight="1">
      <c r="A476" s="246" t="s">
        <v>442</v>
      </c>
      <c r="B476" s="247" t="s">
        <v>899</v>
      </c>
      <c r="C476" s="436" t="s">
        <v>931</v>
      </c>
      <c r="D476" s="234" t="s">
        <v>796</v>
      </c>
      <c r="E476" s="235"/>
      <c r="F476" s="236"/>
      <c r="G476" s="39"/>
      <c r="H476" s="229">
        <v>0</v>
      </c>
      <c r="I476" s="40">
        <f t="shared" si="24"/>
        <v>0</v>
      </c>
      <c r="J476" s="416"/>
    </row>
    <row r="477" spans="1:10" ht="12.75" customHeight="1">
      <c r="A477" s="246" t="s">
        <v>442</v>
      </c>
      <c r="B477" s="247" t="s">
        <v>900</v>
      </c>
      <c r="C477" s="436" t="s">
        <v>915</v>
      </c>
      <c r="D477" s="234" t="s">
        <v>796</v>
      </c>
      <c r="E477" s="235"/>
      <c r="F477" s="236"/>
      <c r="G477" s="39">
        <v>983.8</v>
      </c>
      <c r="H477" s="229">
        <v>2000</v>
      </c>
      <c r="I477" s="40">
        <f t="shared" si="24"/>
        <v>2000</v>
      </c>
      <c r="J477" s="416"/>
    </row>
    <row r="478" spans="1:10" ht="12.75" customHeight="1">
      <c r="A478" s="246" t="s">
        <v>442</v>
      </c>
      <c r="B478" s="247" t="s">
        <v>901</v>
      </c>
      <c r="C478" s="436" t="s">
        <v>916</v>
      </c>
      <c r="D478" s="234" t="s">
        <v>796</v>
      </c>
      <c r="E478" s="235"/>
      <c r="F478" s="236"/>
      <c r="G478" s="39"/>
      <c r="H478" s="229">
        <f>G478/6*12</f>
        <v>0</v>
      </c>
      <c r="I478" s="40">
        <f t="shared" si="24"/>
        <v>0</v>
      </c>
      <c r="J478" s="416"/>
    </row>
    <row r="479" spans="1:10" ht="12.75" customHeight="1">
      <c r="A479" s="246" t="s">
        <v>442</v>
      </c>
      <c r="B479" s="247" t="s">
        <v>902</v>
      </c>
      <c r="C479" s="436" t="s">
        <v>917</v>
      </c>
      <c r="D479" s="234" t="s">
        <v>796</v>
      </c>
      <c r="E479" s="235"/>
      <c r="F479" s="236"/>
      <c r="G479" s="39">
        <v>334.35</v>
      </c>
      <c r="H479" s="229">
        <v>1000</v>
      </c>
      <c r="I479" s="40">
        <f t="shared" si="24"/>
        <v>1000</v>
      </c>
      <c r="J479" s="416"/>
    </row>
    <row r="480" spans="1:10" ht="12.75" customHeight="1">
      <c r="A480" s="246" t="s">
        <v>442</v>
      </c>
      <c r="B480" s="247" t="s">
        <v>903</v>
      </c>
      <c r="C480" s="436" t="s">
        <v>918</v>
      </c>
      <c r="D480" s="234" t="s">
        <v>796</v>
      </c>
      <c r="E480" s="235"/>
      <c r="F480" s="236"/>
      <c r="G480" s="39">
        <v>17710.79</v>
      </c>
      <c r="H480" s="229">
        <v>8000</v>
      </c>
      <c r="I480" s="40">
        <f t="shared" si="24"/>
        <v>9000</v>
      </c>
      <c r="J480" s="416"/>
    </row>
    <row r="481" spans="1:10" ht="12.75" customHeight="1">
      <c r="A481" s="231"/>
      <c r="B481" s="232"/>
      <c r="C481" s="434"/>
      <c r="D481" s="234"/>
      <c r="E481" s="235"/>
      <c r="F481" s="236"/>
      <c r="G481" s="368"/>
      <c r="H481" s="229"/>
      <c r="I481" s="47"/>
      <c r="J481" s="416"/>
    </row>
    <row r="482" spans="1:10" ht="12.75" customHeight="1">
      <c r="A482" s="246" t="s">
        <v>442</v>
      </c>
      <c r="B482" s="247" t="s">
        <v>908</v>
      </c>
      <c r="C482" s="436" t="s">
        <v>919</v>
      </c>
      <c r="D482" s="234" t="s">
        <v>796</v>
      </c>
      <c r="E482" s="235"/>
      <c r="F482" s="236"/>
      <c r="G482" s="39"/>
      <c r="H482" s="229">
        <f>G482/6*12</f>
        <v>0</v>
      </c>
      <c r="I482" s="40">
        <f t="shared" si="24"/>
        <v>0</v>
      </c>
      <c r="J482" s="416"/>
    </row>
    <row r="483" spans="1:10" ht="12.75" customHeight="1">
      <c r="A483" s="246" t="s">
        <v>442</v>
      </c>
      <c r="B483" s="247" t="s">
        <v>909</v>
      </c>
      <c r="C483" s="436" t="s">
        <v>920</v>
      </c>
      <c r="D483" s="234" t="s">
        <v>796</v>
      </c>
      <c r="E483" s="235"/>
      <c r="F483" s="236"/>
      <c r="G483" s="39"/>
      <c r="H483" s="229">
        <v>10000</v>
      </c>
      <c r="I483" s="40">
        <f t="shared" si="24"/>
        <v>11000</v>
      </c>
      <c r="J483" s="416"/>
    </row>
    <row r="484" spans="1:10" ht="12.75" customHeight="1">
      <c r="A484" s="246" t="s">
        <v>442</v>
      </c>
      <c r="B484" s="247" t="s">
        <v>910</v>
      </c>
      <c r="C484" s="436" t="s">
        <v>921</v>
      </c>
      <c r="D484" s="234" t="s">
        <v>796</v>
      </c>
      <c r="E484" s="235"/>
      <c r="F484" s="236"/>
      <c r="G484" s="39"/>
      <c r="H484" s="229">
        <v>10000</v>
      </c>
      <c r="I484" s="40">
        <f t="shared" si="24"/>
        <v>11000</v>
      </c>
      <c r="J484" s="416"/>
    </row>
    <row r="485" spans="1:10" ht="12.75" customHeight="1">
      <c r="A485" s="246" t="s">
        <v>442</v>
      </c>
      <c r="B485" s="247" t="s">
        <v>742</v>
      </c>
      <c r="C485" s="436" t="s">
        <v>922</v>
      </c>
      <c r="D485" s="234" t="s">
        <v>796</v>
      </c>
      <c r="E485" s="235"/>
      <c r="F485" s="236"/>
      <c r="G485" s="39"/>
      <c r="H485" s="229">
        <f>G485/6*12</f>
        <v>0</v>
      </c>
      <c r="I485" s="40">
        <f t="shared" si="24"/>
        <v>0</v>
      </c>
      <c r="J485" s="416"/>
    </row>
    <row r="486" spans="1:10" ht="12.75" customHeight="1">
      <c r="A486" s="246" t="s">
        <v>442</v>
      </c>
      <c r="B486" s="247" t="s">
        <v>911</v>
      </c>
      <c r="C486" s="436" t="s">
        <v>923</v>
      </c>
      <c r="D486" s="234" t="s">
        <v>796</v>
      </c>
      <c r="E486" s="235"/>
      <c r="F486" s="236"/>
      <c r="G486" s="39"/>
      <c r="H486" s="229">
        <f>G486/6*12</f>
        <v>0</v>
      </c>
      <c r="I486" s="40">
        <f t="shared" si="24"/>
        <v>0</v>
      </c>
      <c r="J486" s="416"/>
    </row>
    <row r="487" spans="1:10" ht="12.75" customHeight="1">
      <c r="A487" s="246" t="s">
        <v>442</v>
      </c>
      <c r="B487" s="247" t="s">
        <v>912</v>
      </c>
      <c r="C487" s="436" t="s">
        <v>924</v>
      </c>
      <c r="D487" s="234" t="s">
        <v>796</v>
      </c>
      <c r="E487" s="235"/>
      <c r="F487" s="236"/>
      <c r="G487" s="39"/>
      <c r="H487" s="229">
        <f>G487/6*12</f>
        <v>0</v>
      </c>
      <c r="I487" s="40">
        <f t="shared" si="24"/>
        <v>0</v>
      </c>
      <c r="J487" s="416"/>
    </row>
    <row r="488" spans="1:10" ht="12.75" customHeight="1">
      <c r="A488" s="231"/>
      <c r="B488" s="232"/>
      <c r="C488" s="434"/>
      <c r="D488" s="234"/>
      <c r="E488" s="235"/>
      <c r="F488" s="236"/>
      <c r="G488" s="368"/>
      <c r="H488" s="229"/>
      <c r="I488" s="47"/>
      <c r="J488" s="416"/>
    </row>
    <row r="489" spans="1:10" ht="12.75" customHeight="1">
      <c r="A489" s="231"/>
      <c r="B489" s="232" t="s">
        <v>913</v>
      </c>
      <c r="C489" s="434" t="s">
        <v>925</v>
      </c>
      <c r="D489" s="234"/>
      <c r="E489" s="235"/>
      <c r="F489" s="236"/>
      <c r="G489" s="368">
        <f>SUM(G490:G492)</f>
        <v>194253.8</v>
      </c>
      <c r="H489" s="369">
        <f>SUM(H490:H492)</f>
        <v>266000</v>
      </c>
      <c r="I489" s="47">
        <f>SUM(I490:I492)</f>
        <v>304000</v>
      </c>
      <c r="J489" s="416"/>
    </row>
    <row r="490" spans="1:10" ht="12.75" customHeight="1">
      <c r="A490" s="246" t="s">
        <v>442</v>
      </c>
      <c r="B490" s="247" t="s">
        <v>904</v>
      </c>
      <c r="C490" s="436" t="s">
        <v>926</v>
      </c>
      <c r="D490" s="234" t="s">
        <v>796</v>
      </c>
      <c r="E490" s="235"/>
      <c r="F490" s="236"/>
      <c r="G490" s="39">
        <v>194253.8</v>
      </c>
      <c r="H490" s="229">
        <v>256000</v>
      </c>
      <c r="I490" s="40">
        <f>ROUND(H490*1.1445,-3)</f>
        <v>293000</v>
      </c>
      <c r="J490" s="416"/>
    </row>
    <row r="491" spans="1:10" ht="12.75" customHeight="1">
      <c r="A491" s="246" t="s">
        <v>442</v>
      </c>
      <c r="B491" s="247" t="s">
        <v>905</v>
      </c>
      <c r="C491" s="436" t="s">
        <v>927</v>
      </c>
      <c r="D491" s="234" t="s">
        <v>796</v>
      </c>
      <c r="E491" s="235"/>
      <c r="F491" s="236"/>
      <c r="G491" s="39"/>
      <c r="H491" s="229">
        <v>10000</v>
      </c>
      <c r="I491" s="40">
        <f>ROUND(H491*1.1445,-3)</f>
        <v>11000</v>
      </c>
      <c r="J491" s="416"/>
    </row>
    <row r="492" spans="1:10" ht="12.75" customHeight="1">
      <c r="A492" s="246" t="s">
        <v>442</v>
      </c>
      <c r="B492" s="247" t="s">
        <v>906</v>
      </c>
      <c r="C492" s="436" t="s">
        <v>928</v>
      </c>
      <c r="D492" s="234" t="s">
        <v>796</v>
      </c>
      <c r="E492" s="235"/>
      <c r="F492" s="236"/>
      <c r="G492" s="424"/>
      <c r="H492" s="229">
        <f>G492/6*12</f>
        <v>0</v>
      </c>
      <c r="I492" s="40">
        <f>ROUND(H492*1.1445,-3)</f>
        <v>0</v>
      </c>
      <c r="J492" s="416"/>
    </row>
    <row r="493" spans="1:10" ht="12.75">
      <c r="A493" s="246" t="s">
        <v>442</v>
      </c>
      <c r="B493" s="247" t="s">
        <v>1002</v>
      </c>
      <c r="C493" s="436" t="s">
        <v>1003</v>
      </c>
      <c r="D493" s="234" t="s">
        <v>796</v>
      </c>
      <c r="E493" s="235"/>
      <c r="F493" s="236"/>
      <c r="G493" s="39"/>
      <c r="H493" s="229">
        <f>G493/6*12</f>
        <v>0</v>
      </c>
      <c r="I493" s="40">
        <f>ROUND(H493*1.1445,-3)</f>
        <v>0</v>
      </c>
      <c r="J493" s="416"/>
    </row>
    <row r="494" spans="1:10" ht="12.75">
      <c r="A494" s="231"/>
      <c r="B494" s="232"/>
      <c r="C494" s="434"/>
      <c r="D494" s="234"/>
      <c r="E494" s="235"/>
      <c r="F494" s="236"/>
      <c r="G494" s="228"/>
      <c r="H494" s="229"/>
      <c r="I494" s="230"/>
      <c r="J494" s="416"/>
    </row>
    <row r="495" spans="1:10" ht="12.75">
      <c r="A495" s="231"/>
      <c r="B495" s="232" t="s">
        <v>688</v>
      </c>
      <c r="C495" s="434" t="s">
        <v>682</v>
      </c>
      <c r="D495" s="234"/>
      <c r="E495" s="235"/>
      <c r="F495" s="236"/>
      <c r="G495" s="228">
        <f aca="true" t="shared" si="25" ref="G495:I496">G496</f>
        <v>0</v>
      </c>
      <c r="H495" s="229">
        <f t="shared" si="25"/>
        <v>30000</v>
      </c>
      <c r="I495" s="230">
        <f t="shared" si="25"/>
        <v>33000</v>
      </c>
      <c r="J495" s="416"/>
    </row>
    <row r="496" spans="1:10" ht="12.75">
      <c r="A496" s="231"/>
      <c r="B496" s="232" t="s">
        <v>677</v>
      </c>
      <c r="C496" s="434" t="s">
        <v>683</v>
      </c>
      <c r="D496" s="234"/>
      <c r="E496" s="235"/>
      <c r="F496" s="236"/>
      <c r="G496" s="228">
        <f t="shared" si="25"/>
        <v>0</v>
      </c>
      <c r="H496" s="229">
        <f t="shared" si="25"/>
        <v>30000</v>
      </c>
      <c r="I496" s="230">
        <f t="shared" si="25"/>
        <v>33000</v>
      </c>
      <c r="J496" s="416"/>
    </row>
    <row r="497" spans="1:10" ht="12.75">
      <c r="A497" s="231"/>
      <c r="B497" s="232" t="s">
        <v>678</v>
      </c>
      <c r="C497" s="434" t="s">
        <v>684</v>
      </c>
      <c r="D497" s="234"/>
      <c r="E497" s="235"/>
      <c r="F497" s="236"/>
      <c r="G497" s="228">
        <f>G498+G501</f>
        <v>0</v>
      </c>
      <c r="H497" s="229">
        <f>H498+H501</f>
        <v>30000</v>
      </c>
      <c r="I497" s="230">
        <f>I498+I501</f>
        <v>33000</v>
      </c>
      <c r="J497" s="416"/>
    </row>
    <row r="498" spans="1:10" ht="12.75">
      <c r="A498" s="231"/>
      <c r="B498" s="232" t="s">
        <v>679</v>
      </c>
      <c r="C498" s="434" t="s">
        <v>685</v>
      </c>
      <c r="D498" s="234"/>
      <c r="E498" s="235"/>
      <c r="F498" s="236"/>
      <c r="G498" s="228">
        <f>SUM(G499:G500)</f>
        <v>0</v>
      </c>
      <c r="H498" s="229">
        <f>SUM(H499:H500)</f>
        <v>20000</v>
      </c>
      <c r="I498" s="230">
        <f>SUM(I499:I500)</f>
        <v>22000</v>
      </c>
      <c r="J498" s="416"/>
    </row>
    <row r="499" spans="1:10" ht="12.75">
      <c r="A499" s="246" t="s">
        <v>442</v>
      </c>
      <c r="B499" s="287" t="s">
        <v>680</v>
      </c>
      <c r="C499" s="433" t="s">
        <v>686</v>
      </c>
      <c r="D499" s="234" t="s">
        <v>796</v>
      </c>
      <c r="E499" s="235"/>
      <c r="F499" s="236"/>
      <c r="G499" s="39"/>
      <c r="H499" s="229">
        <v>10000</v>
      </c>
      <c r="I499" s="40">
        <f>ROUND(H499*1.1445,-3)</f>
        <v>11000</v>
      </c>
      <c r="J499" s="416"/>
    </row>
    <row r="500" spans="1:10" ht="12.75">
      <c r="A500" s="246" t="s">
        <v>442</v>
      </c>
      <c r="B500" s="287" t="s">
        <v>681</v>
      </c>
      <c r="C500" s="433" t="s">
        <v>687</v>
      </c>
      <c r="D500" s="234" t="s">
        <v>796</v>
      </c>
      <c r="E500" s="235"/>
      <c r="F500" s="236"/>
      <c r="G500" s="39"/>
      <c r="H500" s="229">
        <v>10000</v>
      </c>
      <c r="I500" s="40">
        <f>ROUND(H500*1.1445,-3)</f>
        <v>11000</v>
      </c>
      <c r="J500" s="416"/>
    </row>
    <row r="501" spans="1:10" ht="12.75">
      <c r="A501" s="430"/>
      <c r="B501" s="232" t="s">
        <v>1039</v>
      </c>
      <c r="C501" s="434" t="s">
        <v>1038</v>
      </c>
      <c r="D501" s="426"/>
      <c r="E501" s="427"/>
      <c r="F501" s="428"/>
      <c r="G501" s="432">
        <f>G502</f>
        <v>0</v>
      </c>
      <c r="H501" s="429">
        <f>H502</f>
        <v>10000</v>
      </c>
      <c r="I501" s="431">
        <f>I502</f>
        <v>11000</v>
      </c>
      <c r="J501" s="416"/>
    </row>
    <row r="502" spans="1:10" ht="12.75">
      <c r="A502" s="246" t="s">
        <v>442</v>
      </c>
      <c r="B502" s="425" t="s">
        <v>1039</v>
      </c>
      <c r="C502" s="435" t="s">
        <v>1038</v>
      </c>
      <c r="D502" s="234" t="s">
        <v>796</v>
      </c>
      <c r="E502" s="235"/>
      <c r="F502" s="236"/>
      <c r="G502" s="39"/>
      <c r="H502" s="229">
        <v>10000</v>
      </c>
      <c r="I502" s="40">
        <f>ROUND(H502*1.1445,-3)</f>
        <v>11000</v>
      </c>
      <c r="J502" s="416"/>
    </row>
    <row r="503" spans="1:10" ht="13.5" thickBot="1">
      <c r="A503" s="263"/>
      <c r="B503" s="264"/>
      <c r="C503" s="265"/>
      <c r="D503" s="288"/>
      <c r="E503" s="289"/>
      <c r="F503" s="290"/>
      <c r="G503" s="380"/>
      <c r="H503" s="269"/>
      <c r="I503" s="365"/>
      <c r="J503" s="416"/>
    </row>
    <row r="504" spans="1:10" ht="13.5" thickBot="1">
      <c r="A504" s="582" t="s">
        <v>642</v>
      </c>
      <c r="B504" s="583"/>
      <c r="C504" s="584"/>
      <c r="D504" s="270"/>
      <c r="E504" s="270"/>
      <c r="F504" s="270"/>
      <c r="G504" s="274">
        <f>G469</f>
        <v>565718.1499999999</v>
      </c>
      <c r="H504" s="275">
        <f>H469</f>
        <v>1198000</v>
      </c>
      <c r="I504" s="275">
        <f>I469</f>
        <v>1371000</v>
      </c>
      <c r="J504" s="416"/>
    </row>
    <row r="505" spans="1:10" ht="13.5" thickBot="1">
      <c r="A505" s="270"/>
      <c r="B505" s="270"/>
      <c r="C505" s="270"/>
      <c r="D505" s="270"/>
      <c r="E505" s="270"/>
      <c r="F505" s="270"/>
      <c r="G505" s="291"/>
      <c r="H505" s="291"/>
      <c r="I505" s="291"/>
      <c r="J505" s="416"/>
    </row>
    <row r="506" spans="1:10" ht="13.5" thickBot="1">
      <c r="A506" s="585" t="s">
        <v>643</v>
      </c>
      <c r="B506" s="586"/>
      <c r="C506" s="587"/>
      <c r="D506" s="292"/>
      <c r="E506" s="292"/>
      <c r="F506" s="292"/>
      <c r="G506" s="293">
        <f>G504+G467</f>
        <v>17923638.22</v>
      </c>
      <c r="H506" s="294">
        <f>H504+H467</f>
        <v>48582718.788</v>
      </c>
      <c r="I506" s="295">
        <f>I504+I467</f>
        <v>58388000</v>
      </c>
      <c r="J506" s="418"/>
    </row>
    <row r="507" spans="7:10" ht="13.5" thickBot="1">
      <c r="G507" s="296"/>
      <c r="H507" s="296"/>
      <c r="I507" s="296"/>
      <c r="J507" s="416"/>
    </row>
    <row r="508" spans="3:10" ht="13.5" thickBot="1">
      <c r="C508" s="297" t="s">
        <v>444</v>
      </c>
      <c r="D508" s="298"/>
      <c r="E508" s="298"/>
      <c r="F508" s="298"/>
      <c r="G508" s="299" t="s">
        <v>1034</v>
      </c>
      <c r="H508" s="542" t="s">
        <v>1035</v>
      </c>
      <c r="I508" s="543" t="s">
        <v>1036</v>
      </c>
      <c r="J508" s="416"/>
    </row>
    <row r="509" spans="3:10" ht="12.75">
      <c r="C509" s="300" t="s">
        <v>714</v>
      </c>
      <c r="D509" s="300"/>
      <c r="E509" s="300"/>
      <c r="F509" s="300"/>
      <c r="G509" s="301">
        <f>G515-SUM(G510:G514)</f>
        <v>14306843.299999999</v>
      </c>
      <c r="H509" s="302">
        <f>H515-SUM(H510:H514)</f>
        <v>40207718.788</v>
      </c>
      <c r="I509" s="303">
        <f>I515-SUM(I510:I514)</f>
        <v>49111000</v>
      </c>
      <c r="J509" s="416"/>
    </row>
    <row r="510" spans="3:10" ht="12.75">
      <c r="C510" s="304" t="s">
        <v>625</v>
      </c>
      <c r="D510" s="304"/>
      <c r="E510" s="304"/>
      <c r="F510" s="304"/>
      <c r="G510" s="305">
        <f>'Receita Saúde'!D126</f>
        <v>1996999.8499999999</v>
      </c>
      <c r="H510" s="306">
        <f>'Receita Saúde'!E126</f>
        <v>4592000</v>
      </c>
      <c r="I510" s="307">
        <f>'Receita Saúde'!F126</f>
        <v>4939000</v>
      </c>
      <c r="J510" s="416"/>
    </row>
    <row r="511" spans="3:10" ht="12.75">
      <c r="C511" s="308" t="s">
        <v>432</v>
      </c>
      <c r="D511" s="308"/>
      <c r="E511" s="308"/>
      <c r="F511" s="308"/>
      <c r="G511" s="305">
        <f>'Receita Assistência Social'!D48</f>
        <v>449132.32</v>
      </c>
      <c r="H511" s="306">
        <f>'Receita Assistência Social'!E48</f>
        <v>1051000</v>
      </c>
      <c r="I511" s="307">
        <f>'Receita Assistência Social'!F48</f>
        <v>1203000</v>
      </c>
      <c r="J511" s="416"/>
    </row>
    <row r="512" spans="3:10" ht="12.75">
      <c r="C512" s="309" t="s">
        <v>434</v>
      </c>
      <c r="D512" s="309"/>
      <c r="E512" s="309"/>
      <c r="F512" s="309"/>
      <c r="G512" s="310">
        <f>'Receita FUNDECA'!D39</f>
        <v>0</v>
      </c>
      <c r="H512" s="311">
        <f>'Receita FUNDECA'!E39</f>
        <v>0</v>
      </c>
      <c r="I512" s="312">
        <f>'Receita FUNDECA'!F39</f>
        <v>0</v>
      </c>
      <c r="J512" s="416"/>
    </row>
    <row r="513" spans="3:10" ht="12.75">
      <c r="C513" s="313" t="s">
        <v>433</v>
      </c>
      <c r="D513" s="313"/>
      <c r="E513" s="313"/>
      <c r="F513" s="313"/>
      <c r="G513" s="305">
        <f>' Autarq. Educacional'!D84</f>
        <v>0</v>
      </c>
      <c r="H513" s="306">
        <f>' Autarq. Educacional'!E84</f>
        <v>0</v>
      </c>
      <c r="I513" s="307">
        <f>' Autarq. Educacional'!F84</f>
        <v>0</v>
      </c>
      <c r="J513" s="416"/>
    </row>
    <row r="514" spans="3:10" ht="12.75">
      <c r="C514" s="314" t="s">
        <v>442</v>
      </c>
      <c r="D514" s="314"/>
      <c r="E514" s="314"/>
      <c r="F514" s="314"/>
      <c r="G514" s="305">
        <f>RPPS!D115</f>
        <v>1170662.75</v>
      </c>
      <c r="H514" s="306">
        <f>RPPS!E115</f>
        <v>2732000</v>
      </c>
      <c r="I514" s="307">
        <f>RPPS!F115</f>
        <v>3135000</v>
      </c>
      <c r="J514" s="416"/>
    </row>
    <row r="515" spans="3:10" ht="13.5" thickBot="1">
      <c r="C515" s="315" t="s">
        <v>713</v>
      </c>
      <c r="D515" s="315"/>
      <c r="E515" s="315"/>
      <c r="F515" s="315"/>
      <c r="G515" s="316">
        <f>G467+G504</f>
        <v>17923638.22</v>
      </c>
      <c r="H515" s="317">
        <f>H467+H504</f>
        <v>48582718.788</v>
      </c>
      <c r="I515" s="318">
        <f>I467+I504</f>
        <v>58388000</v>
      </c>
      <c r="J515" s="416"/>
    </row>
    <row r="516" ht="12.75">
      <c r="J516" s="416"/>
    </row>
    <row r="517" spans="3:10" ht="12.75">
      <c r="C517" s="319"/>
      <c r="D517" s="319"/>
      <c r="E517" s="319"/>
      <c r="F517" s="319"/>
      <c r="G517" s="579" t="s">
        <v>605</v>
      </c>
      <c r="H517" s="580"/>
      <c r="I517" s="320">
        <f>I515/12</f>
        <v>4865666.666666667</v>
      </c>
      <c r="J517" s="416"/>
    </row>
    <row r="518" spans="3:10" ht="12.75" customHeight="1" thickBot="1">
      <c r="C518" s="319"/>
      <c r="D518" s="319"/>
      <c r="E518" s="319"/>
      <c r="F518" s="319"/>
      <c r="I518" s="321"/>
      <c r="J518" s="416"/>
    </row>
    <row r="519" spans="4:10" ht="13.5" customHeight="1" hidden="1" thickBot="1">
      <c r="D519" s="607" t="s">
        <v>782</v>
      </c>
      <c r="E519" s="618" t="s">
        <v>782</v>
      </c>
      <c r="F519" s="621" t="s">
        <v>782</v>
      </c>
      <c r="G519" s="322">
        <f aca="true" t="array" ref="G519">SUM(IF($D$12:$D$503=$D$519,IF($G$12:$G$503&gt;-99999999999999,$G$12:$G$503,0),0))</f>
        <v>0</v>
      </c>
      <c r="H519" s="323">
        <f aca="true" t="array" ref="H519">SUM(IF($D$12:$D$503=$D$519,IF($H$12:$H$503&gt;-999999999999999,$H$12:$H$503,0),0))</f>
        <v>0</v>
      </c>
      <c r="I519" s="324">
        <f aca="true" t="array" ref="I519">SUM(IF($D$12:$D$503=$D$519,IF($I$12:$I$503&gt;-999999999999999,$I$12:$I$503,0),0))</f>
        <v>0</v>
      </c>
      <c r="J519" s="416"/>
    </row>
    <row r="520" spans="4:10" ht="13.5" hidden="1" thickBot="1">
      <c r="D520" s="608"/>
      <c r="E520" s="619"/>
      <c r="F520" s="622"/>
      <c r="G520" s="325">
        <f aca="true" t="array" ref="G520">SUM(IF($E$12:$E$503=$E$519,IF($G$12:$G$503&gt;-999999999999999,$G$12:$G$503,0),0))</f>
        <v>8386495.52</v>
      </c>
      <c r="H520" s="326">
        <f aca="true" t="array" ref="H520">SUM(IF($E$12:$E$503=$E$519,IF($H$12:$H$503&gt;-999999999999999,$H$12:$H$503,0),0))</f>
        <v>17049816.560000002</v>
      </c>
      <c r="I520" s="327">
        <f aca="true" t="array" ref="I520">SUM(IF($E$12:$E$503=$E$519,IF($I$12:$I$503&gt;-999999999999999,$I$12:$I$503,0),0))</f>
        <v>19515000</v>
      </c>
      <c r="J520" s="416"/>
    </row>
    <row r="521" spans="4:10" ht="13.5" hidden="1" thickBot="1">
      <c r="D521" s="609"/>
      <c r="E521" s="620"/>
      <c r="F521" s="623"/>
      <c r="G521" s="328">
        <f aca="true" t="array" ref="G521">SUM(IF($F$12:$F$503=$F$519,IF($G$12:$G$503&gt;-999999999999999,$G$12:$G$503,0),0))</f>
        <v>0</v>
      </c>
      <c r="H521" s="329">
        <f aca="true" t="array" ref="H521">SUM(IF($F$12:$F$503=$F$519,IF($H$12:$H$503&gt;-999999999999999,$H$12:$H$503,0),0))</f>
        <v>0</v>
      </c>
      <c r="I521" s="330">
        <f aca="true" t="array" ref="I521">SUM(IF($F$12:$F$503=$F$519,IF($I$12:$I$503&gt;-999999999999999,$I$12:$I$503,0),0))</f>
        <v>0</v>
      </c>
      <c r="J521" s="416"/>
    </row>
    <row r="522" spans="4:10" ht="13.5" hidden="1" thickBot="1">
      <c r="D522" s="592" t="s">
        <v>222</v>
      </c>
      <c r="E522" s="593"/>
      <c r="F522" s="594"/>
      <c r="G522" s="331">
        <f>SUM(G519:G521)</f>
        <v>8386495.52</v>
      </c>
      <c r="H522" s="332">
        <f>SUM(H519:H521)</f>
        <v>17049816.560000002</v>
      </c>
      <c r="I522" s="333">
        <f>SUM(I519:I521)</f>
        <v>19515000</v>
      </c>
      <c r="J522" s="416"/>
    </row>
    <row r="523" spans="4:10" ht="24" customHeight="1">
      <c r="D523" s="566" t="s">
        <v>823</v>
      </c>
      <c r="E523" s="567"/>
      <c r="F523" s="568"/>
      <c r="G523" s="562" t="s">
        <v>995</v>
      </c>
      <c r="H523" s="564" t="s">
        <v>996</v>
      </c>
      <c r="I523" s="560" t="s">
        <v>997</v>
      </c>
      <c r="J523" s="416"/>
    </row>
    <row r="524" spans="4:10" ht="24" customHeight="1" thickBot="1">
      <c r="D524" s="569"/>
      <c r="E524" s="570"/>
      <c r="F524" s="571"/>
      <c r="G524" s="563"/>
      <c r="H524" s="565"/>
      <c r="I524" s="561"/>
      <c r="J524" s="416"/>
    </row>
    <row r="525" spans="4:10" ht="15.75">
      <c r="D525" s="572" t="s">
        <v>797</v>
      </c>
      <c r="E525" s="573"/>
      <c r="F525" s="574"/>
      <c r="G525" s="334">
        <f aca="true" t="array" ref="G525">SUM(IF(D12:D503=M8,IF(G12:G503&gt;-999999999999999,G12:G503,0),0))-((SUM(G12,G13,G16,G17,G18,G20,G25,G26,G188,G190,G278,G284,G286,G288,G334,G335,G336,G350,G351,G352,G396,G397,G398))*0.4)</f>
        <v>4099269.992</v>
      </c>
      <c r="H525" s="335">
        <f aca="true" t="array" ref="H525">SUM(IF(D12:D503=M8,IF(H12:H503&gt;-999999999999999,H12:H503,0),0))-((SUM(H12,H13,H16,H17,H18,H20,H25,H26,H188,H190,H278,H284,H286,H288,H334,H335,H336,H350,H351,H352,H396,H397,H398))*0.4)</f>
        <v>8072926.623999998</v>
      </c>
      <c r="I525" s="422">
        <f aca="true" t="array" ref="I525">SUM(IF(D12:D503=M8,IF(I12:I503&gt;-999999999999999,I12:I503,0),0))-((SUM(I12,I13,I16,I17,I18,I20,I25,I26,I188,I190,I278,I284,I286,I288,I334,I335,I336,I350,I351,I352,I396,I397,I398))*0.4)</f>
        <v>11107000</v>
      </c>
      <c r="J525" s="416"/>
    </row>
    <row r="526" spans="3:10" ht="15.75" hidden="1">
      <c r="C526" s="210">
        <f>((SUM($G$12,$G$13,$G$17,$G$18,$G$20,$G$23,$G$188,$G$190,$G$278,$G$284,$G$286,$G$288,$G$334,$G$335,$G$336,$G$337,$G$350,$G$351,$G$352,$G$354,$G$396,$G$397,$G$398,$G$399,$G$400))*0.4)</f>
        <v>3354598.208</v>
      </c>
      <c r="D526" s="551" t="s">
        <v>817</v>
      </c>
      <c r="E526" s="552"/>
      <c r="F526" s="553"/>
      <c r="G526" s="336">
        <f aca="true" t="array" ref="G526">SUM(IF($D$12:$D$503=$M$9,IF($G$12:$G$503&gt;-999999999999999,$G$12:$G$503,0),0))</f>
        <v>0</v>
      </c>
      <c r="H526" s="337">
        <f aca="true" t="array" ref="H526">SUM(IF($D$12:$D$503=$M$9,IF($H$12:$H$503&gt;-999999999999999,$H$12:$H$503,0),0))</f>
        <v>0</v>
      </c>
      <c r="I526" s="375">
        <f aca="true" t="array" ref="I526">SUM(IF($D$12:$D$503=$M$9,IF($I$12:$I$503&gt;-999999999999999,$I$12:$I$503,0),0))</f>
        <v>0</v>
      </c>
      <c r="J526" s="416"/>
    </row>
    <row r="527" spans="3:10" ht="15.75" hidden="1">
      <c r="C527" s="210"/>
      <c r="D527" s="551" t="s">
        <v>818</v>
      </c>
      <c r="E527" s="552"/>
      <c r="F527" s="553"/>
      <c r="G527" s="336">
        <f aca="true" t="array" ref="G527">SUM(IF($E$12:$E$503=$M$9,IF($G$12:$G$503&gt;-999999999999999,$G$12:$G$503,0),0))</f>
        <v>8386495.52</v>
      </c>
      <c r="H527" s="337">
        <f aca="true" t="array" ref="H527">SUM(IF($E$12:$E$503=$M$9,IF($H$12:$H$503&gt;-999999999999999,$H$12:$H$503,0),0))</f>
        <v>17049816.560000002</v>
      </c>
      <c r="I527" s="375">
        <f aca="true" t="array" ref="I527">SUM(IF($E$12:$E$503=$M$9,IF($I$12:$I$503&gt;-999999999999999,$I$12:$I$503,0),0))</f>
        <v>19515000</v>
      </c>
      <c r="J527" s="416"/>
    </row>
    <row r="528" spans="3:10" ht="15.75" hidden="1">
      <c r="C528" s="210">
        <f>(SUM($G$12,$G$13,$G$17,$G$18,$G$20,$G$23,$G$188,$G$190,$G$278,$G$284,$G$286,$G$288,$G$334,$G$335,$G$336,$G$337,$G$350,$G$351,$G$352,$G$354,$G$396,$G$397,$G$398,$G$399,$G$400))*0.75</f>
        <v>6289871.64</v>
      </c>
      <c r="D528" s="551" t="s">
        <v>819</v>
      </c>
      <c r="E528" s="552"/>
      <c r="F528" s="553"/>
      <c r="G528" s="336">
        <f aca="true" t="array" ref="G528">SUM(IF($F$12:$F$503=$M$9,IF($G$11:$G$500&gt;-999999999999999,$G$12:$G$503,0),0))</f>
        <v>0</v>
      </c>
      <c r="H528" s="337">
        <f aca="true" t="array" ref="H528">SUM(IF($F$12:$F$503=$M$9,IF($H$12:$H$503&gt;-999999999999999,$H$12:$H$503,0),0))</f>
        <v>0</v>
      </c>
      <c r="I528" s="375">
        <f aca="true" t="array" ref="I528">SUM(IF($F$12:$F$503=$M$9,IF($I$12:$I$503&gt;-999999999999999,$I$12:$I$503,0),0))</f>
        <v>0</v>
      </c>
      <c r="J528" s="416"/>
    </row>
    <row r="529" spans="3:10" ht="15.75">
      <c r="C529" s="210"/>
      <c r="D529" s="551" t="s">
        <v>798</v>
      </c>
      <c r="E529" s="552"/>
      <c r="F529" s="553"/>
      <c r="G529" s="336">
        <f aca="true" t="array" ref="G529">SUM(G526:G528)-((SUM(G12,G13,G16,G17,G18,G20,G25,G26,G188,G190,G278,G284,G286,G288,G334,G335,G336,G350,G351,G352,G396,G397,G398))*0.75)</f>
        <v>2096623.88</v>
      </c>
      <c r="H529" s="337">
        <f>SUM(H526:H528)-((SUM(H12,H13,H16,H17,H18,H20,H25,H26,H188,H190,H278,H284,H286,H288,H334,H335,H336,H350,H351,H352,H396,H397,H398))*0.75)</f>
        <v>4262454.140000001</v>
      </c>
      <c r="I529" s="375">
        <f aca="true" t="array" ref="I529">SUM(I526:I528)-((SUM(I12,I13,I16,I17,I18,I20,I25,I26,I188,I190,I278,I284,I286,I288,I334,I335,I336,I350,I351,I352,I396,I397,I398))*0.75)</f>
        <v>4878750</v>
      </c>
      <c r="J529" s="416"/>
    </row>
    <row r="530" spans="3:10" ht="15.75" hidden="1">
      <c r="C530" s="210"/>
      <c r="D530" s="554" t="s">
        <v>820</v>
      </c>
      <c r="E530" s="555"/>
      <c r="F530" s="556"/>
      <c r="G530" s="339">
        <f aca="true" t="array" ref="G530">SUM(IF($D$12:$D$503=$M$10,IF($G$12:$G$503&gt;-999999999999999,$G$12:$G$503,0),0))</f>
        <v>0</v>
      </c>
      <c r="H530" s="340">
        <f aca="true" t="array" ref="H530">SUM(IF($D$12:$D$503=$M$10,IF($H$12:$H$503&gt;-999999999999999,$H$12:$H$503,0),0))</f>
        <v>0</v>
      </c>
      <c r="I530" s="341">
        <f aca="true" t="array" ref="I530">SUM(IF($D$12:$D$503=$M$10,IF($I$12:$I$503&gt;-999999999999999,$I$12:$I$503,0),0))</f>
        <v>0</v>
      </c>
      <c r="J530" s="416"/>
    </row>
    <row r="531" spans="3:10" ht="15.75" hidden="1">
      <c r="C531" s="210"/>
      <c r="D531" s="554" t="s">
        <v>821</v>
      </c>
      <c r="E531" s="555"/>
      <c r="F531" s="556"/>
      <c r="G531" s="339">
        <f aca="true" t="array" ref="G531">SUM(IF($E$12:$E$503=$M$10,IF($G$12:$G$503&gt;-999999999999999,$G$12:$G$503,0),0))</f>
        <v>0</v>
      </c>
      <c r="H531" s="340">
        <f aca="true" t="array" ref="H531">SUM(IF($E$12:$E$503=$M$10,IF($H$12:$H$503&gt;-999999999999999,$H$12:$H$503,0),0))</f>
        <v>0</v>
      </c>
      <c r="I531" s="341">
        <f aca="true" t="array" ref="I531">SUM(IF($E$12:$E$503=$M$10,IF($I$12:$I$503&gt;-999999999999999,$I$12:$I$503,0),0))</f>
        <v>0</v>
      </c>
      <c r="J531" s="416"/>
    </row>
    <row r="532" spans="3:10" ht="15.75" hidden="1">
      <c r="C532" s="210">
        <f>(SUM($G$12,$G$13,$G$17,$G$18,$G$20,$G$23,$G$188,$G$190,$G$278,$G$284,$G$286,$G$288,$G$334,$G$335,$G$336,$G$337,$G$350,$G$351,$G$352,$G$354,$G$396,$G$397,$G$398,$G$399,$G$400))*0.85</f>
        <v>7128521.192</v>
      </c>
      <c r="D532" s="554" t="s">
        <v>822</v>
      </c>
      <c r="E532" s="555"/>
      <c r="F532" s="556"/>
      <c r="G532" s="339">
        <f aca="true" t="array" ref="G532">SUM(IF($F$12:$F$503=$M$10,IF($G$11:$G$500&gt;-999999999999999,$G$12:$G$503,0),0))</f>
        <v>8386495.52</v>
      </c>
      <c r="H532" s="340">
        <f aca="true" t="array" ref="H532">SUM(IF($F$12:$F$503=$M$10,IF($H$12:$H$503&gt;-999999999999999,$H$12:$H$503,0),0))</f>
        <v>17049816.560000002</v>
      </c>
      <c r="I532" s="341">
        <f aca="true" t="array" ref="I532">SUM(IF($F$12:$F$503=$M$10,IF($I$12:$I$503&gt;-999999999999999,$I$12:$I$503,0),0))</f>
        <v>19515000</v>
      </c>
      <c r="J532" s="416"/>
    </row>
    <row r="533" spans="4:10" ht="15.75">
      <c r="D533" s="554" t="s">
        <v>799</v>
      </c>
      <c r="E533" s="555"/>
      <c r="F533" s="556"/>
      <c r="G533" s="339">
        <f aca="true" t="array" ref="G533">SUM(G530:G532)-(SUM(G12,G13,G16,G17,G18,G20,G25,G26,G188,G190,G278,G284,G286,G288,G334,G335,G336,G350,G351,G352,G396,G397,G398))*0.85</f>
        <v>1257974.3279999997</v>
      </c>
      <c r="H533" s="340">
        <f>SUM(H530:H532)-(SUM(H12,H13,H16,H17,H18,H20,H25,H26,H188,H190,H278,H284,H286,H288,H334,H335,H336,H350,H351,H352,H396,H397,H398))*0.85</f>
        <v>2557472.484000001</v>
      </c>
      <c r="I533" s="374">
        <f aca="true" t="array" ref="I533">SUM(I530:I532)-(SUM(I12,I13,I16,I17,I18,I20,I25,I26,I188,I190,I278,I284,I286,I288,I334,I335,I336,I350,I351,I352,I396,I397,I398))*0.85</f>
        <v>2927250</v>
      </c>
      <c r="J533" s="416"/>
    </row>
    <row r="534" spans="3:10" ht="15.75">
      <c r="C534" s="259"/>
      <c r="D534" s="551" t="s">
        <v>800</v>
      </c>
      <c r="E534" s="552"/>
      <c r="F534" s="553"/>
      <c r="G534" s="336">
        <f>(G304+G109)*0.6</f>
        <v>3218208.5339999995</v>
      </c>
      <c r="H534" s="337">
        <f>(H304+H109)*0.6</f>
        <v>6415874.399999999</v>
      </c>
      <c r="I534" s="375">
        <f>(I304+I109)*0.6</f>
        <v>7360200</v>
      </c>
      <c r="J534" s="416"/>
    </row>
    <row r="535" spans="3:10" ht="15.75">
      <c r="C535" s="259"/>
      <c r="D535" s="554" t="s">
        <v>801</v>
      </c>
      <c r="E535" s="555"/>
      <c r="F535" s="556"/>
      <c r="G535" s="339">
        <f>(G304+G109)*0.4</f>
        <v>2145472.356</v>
      </c>
      <c r="H535" s="340">
        <f>(H304+H109)*0.4</f>
        <v>4277249.600000001</v>
      </c>
      <c r="I535" s="374">
        <f>(I304+I109)*0.4</f>
        <v>4906800</v>
      </c>
      <c r="J535" s="416"/>
    </row>
    <row r="536" spans="4:10" ht="15.75">
      <c r="D536" s="551" t="s">
        <v>802</v>
      </c>
      <c r="E536" s="552"/>
      <c r="F536" s="553"/>
      <c r="G536" s="336">
        <f aca="true" t="array" ref="G536">SUM(IF($D$12:$D$503=M13,IF($G$12:$G$503&gt;-999999999999999,$G$12:$G$503,0),0))</f>
        <v>728870.77</v>
      </c>
      <c r="H536" s="337">
        <f aca="true" t="array" ref="H536">SUM(IF($D$12:$D$503=M13,IF($H$12:$H$503&gt;-999999999999999,$H$12:$H$503,0),0))</f>
        <v>1457741.54</v>
      </c>
      <c r="I536" s="375">
        <f aca="true" t="array" ref="I536">SUM(IF($D$12:$D$503=M13,IF($I$12:$I$503&gt;-999999999999999,$I$12:$I$503,0),0))</f>
        <v>1668000</v>
      </c>
      <c r="J536" s="416"/>
    </row>
    <row r="537" spans="4:10" ht="15.75">
      <c r="D537" s="554" t="s">
        <v>803</v>
      </c>
      <c r="E537" s="555"/>
      <c r="F537" s="556"/>
      <c r="G537" s="339">
        <f aca="true" t="array" ref="G537">SUM(IF($D$12:$D$503=M14,IF($G$12:$G$503&gt;-999999999999999,$G$12:$G$503,0),0))</f>
        <v>1992499.8499999999</v>
      </c>
      <c r="H537" s="340">
        <f aca="true" t="array" ref="H537">SUM(IF($D$12:$D$503=M14,IF($H$12:$H$503&gt;-999999999999999,$H$12:$H$503,0),0))</f>
        <v>3992000</v>
      </c>
      <c r="I537" s="374">
        <f aca="true" t="array" ref="I537">SUM(IF($D$12:$D$503=M14,IF($I$12:$I$503&gt;-999999999999999,$I$12:$I$503,0),0))</f>
        <v>4612000</v>
      </c>
      <c r="J537" s="416"/>
    </row>
    <row r="538" spans="4:10" ht="15.75">
      <c r="D538" s="551" t="s">
        <v>804</v>
      </c>
      <c r="E538" s="552"/>
      <c r="F538" s="553"/>
      <c r="G538" s="336">
        <f aca="true" t="array" ref="G538">SUM(IF($D$12:$D$503=M15,IF($G$12:$G$503&gt;-999999999999999,$G$12:$G$503,0),0))</f>
        <v>449132.32</v>
      </c>
      <c r="H538" s="337">
        <f aca="true" t="array" ref="H538">SUM(IF($D$12:$D$503=M15,IF($H$12:$H$503&gt;-999999999999999,$H$12:$H$503,0),0))</f>
        <v>1051000</v>
      </c>
      <c r="I538" s="338">
        <f aca="true" t="array" ref="I538">SUM(IF($D$12:$D$503=M15,IF($I$12:$I$503&gt;-999999999999999,$I$12:$I$503,0),0))</f>
        <v>1203000</v>
      </c>
      <c r="J538" s="416"/>
    </row>
    <row r="539" spans="4:10" ht="15.75">
      <c r="D539" s="554" t="s">
        <v>805</v>
      </c>
      <c r="E539" s="555"/>
      <c r="F539" s="556"/>
      <c r="G539" s="339">
        <f aca="true" t="array" ref="G539">SUM(IF($D$12:$D$503=M16,IF($G$12:$G$503&gt;-999999999999999,$G$12:$G$503,0),0))</f>
        <v>274953.53</v>
      </c>
      <c r="H539" s="340">
        <f aca="true" t="array" ref="H539">SUM(IF($D$12:$D$503=M16,IF($H$12:$H$503&gt;-999999999999999,$H$12:$H$503,0),0))</f>
        <v>477000</v>
      </c>
      <c r="I539" s="341">
        <f aca="true" t="array" ref="I539">SUM(IF($D$12:$D$503=M16,IF($I$12:$I$503&gt;-999999999999999,$I$12:$I$503,0),0))</f>
        <v>546000</v>
      </c>
      <c r="J539" s="416"/>
    </row>
    <row r="540" spans="4:10" ht="15.75">
      <c r="D540" s="551" t="s">
        <v>762</v>
      </c>
      <c r="E540" s="552"/>
      <c r="F540" s="553"/>
      <c r="G540" s="336">
        <f aca="true" t="array" ref="G540">SUM(IF($D$12:$D$503=M17,IF($G$12:$G$503&gt;-999999999999999,$G$12:$G$503,0),0))</f>
        <v>0</v>
      </c>
      <c r="H540" s="337">
        <f aca="true" t="array" ref="H540">SUM(IF($D$12:$D$503=M17,IF($H$12:$H$503&gt;-999999999999999,$H$12:$H$503,0),0))</f>
        <v>0</v>
      </c>
      <c r="I540" s="338">
        <f aca="true" t="array" ref="I540">SUM(IF($D$12:$D$503=M17,IF($I$12:$I$503&gt;-999999999999999,$I$12:$I$503,0),0))</f>
        <v>0</v>
      </c>
      <c r="J540" s="416"/>
    </row>
    <row r="541" spans="4:10" ht="15.75">
      <c r="D541" s="554" t="s">
        <v>764</v>
      </c>
      <c r="E541" s="555"/>
      <c r="F541" s="556"/>
      <c r="G541" s="339">
        <f aca="true" t="array" ref="G541">SUM(IF($D$12:$D$503=M18,IF($G$12:$G$503&gt;-999999999999999,$G$12:$G$503,0),0))</f>
        <v>141504</v>
      </c>
      <c r="H541" s="340">
        <f aca="true" t="array" ref="H541">SUM(IF($D$12:$D$503=M18,IF($H$12:$H$503&gt;-999999999999999,$H$12:$H$503,0),0))</f>
        <v>412000</v>
      </c>
      <c r="I541" s="341">
        <f aca="true" t="array" ref="I541">SUM(IF($D$12:$D$503=M18,IF($I$12:$I$503&gt;-999999999999999,$I$12:$I$503,0),0))</f>
        <v>471000</v>
      </c>
      <c r="J541" s="416"/>
    </row>
    <row r="542" spans="4:10" ht="15.75">
      <c r="D542" s="551" t="s">
        <v>766</v>
      </c>
      <c r="E542" s="552"/>
      <c r="F542" s="553"/>
      <c r="G542" s="336">
        <f aca="true" t="array" ref="G542">SUM(IF($D$12:$D$503=M19,IF($G$12:$G$503&gt;-999999999999999,$G$12:$G$503,0),0))</f>
        <v>56432.88</v>
      </c>
      <c r="H542" s="337">
        <f aca="true" t="array" ref="H542">SUM(IF($D$12:$D$503=M19,IF($H$12:$H$503&gt;-999999999999999,$H$12:$H$503,0),0))</f>
        <v>251000</v>
      </c>
      <c r="I542" s="338">
        <f aca="true" t="array" ref="I542">SUM(IF($D$12:$D$503=M19,IF($I$12:$I$503&gt;-999999999999999,$I$12:$I$503,0),0))</f>
        <v>287000</v>
      </c>
      <c r="J542" s="416"/>
    </row>
    <row r="543" spans="4:10" ht="15.75">
      <c r="D543" s="554" t="s">
        <v>806</v>
      </c>
      <c r="E543" s="555"/>
      <c r="F543" s="556"/>
      <c r="G543" s="339">
        <f aca="true" t="array" ref="G543">SUM(IF($D$12:$D$503=M20,IF($G$12:$G$503&gt;-999999999999999,$G$12:$G$503,0),0))</f>
        <v>818.2</v>
      </c>
      <c r="H543" s="340">
        <f aca="true" t="array" ref="H543">SUM(IF($D$12:$D$503=M20,IF($H$12:$H$503&gt;-999999999999999,$H$12:$H$503,0),0))</f>
        <v>55000</v>
      </c>
      <c r="I543" s="341">
        <f aca="true" t="array" ref="I543">SUM(IF($D$12:$D$503=M20,IF($I$12:$I$503&gt;-999999999999999,$I$12:$I$503,0),0))</f>
        <v>63000</v>
      </c>
      <c r="J543" s="416"/>
    </row>
    <row r="544" spans="4:10" ht="15.75">
      <c r="D544" s="551" t="s">
        <v>807</v>
      </c>
      <c r="E544" s="552"/>
      <c r="F544" s="553"/>
      <c r="G544" s="336">
        <f aca="true" t="array" ref="G544">SUM(IF($D$12:$D$503=M21,IF($G$12:$G$503&gt;-999999999999999,$G$12:$G$503,0),0))</f>
        <v>52285.9</v>
      </c>
      <c r="H544" s="337">
        <f aca="true" t="array" ref="H544">SUM(IF($D$12:$D$503=M21,IF($H$12:$H$503&gt;-999999999999999,$H$12:$H$503,0),0))</f>
        <v>3457000</v>
      </c>
      <c r="I544" s="338">
        <f aca="true" t="array" ref="I544">SUM(IF($D$12:$D$503=M21,IF($I$12:$I$503&gt;-999999999999999,$I$12:$I$503,0),0))</f>
        <v>3909000</v>
      </c>
      <c r="J544" s="416"/>
    </row>
    <row r="545" spans="4:10" ht="15.75">
      <c r="D545" s="554" t="s">
        <v>808</v>
      </c>
      <c r="E545" s="555"/>
      <c r="F545" s="556"/>
      <c r="G545" s="339">
        <f aca="true" t="array" ref="G545">SUM(IF($D$12:$D$503=M22,IF($G$12:$G$503&gt;-999999999999999,$G$12:$G$503,0),0))</f>
        <v>0</v>
      </c>
      <c r="H545" s="340">
        <f aca="true" t="array" ref="H545">SUM(IF($D$12:$D$503=M22,IF($H$12:$H$503&gt;-999999999999999,$H$12:$H$503,0),0))</f>
        <v>600000</v>
      </c>
      <c r="I545" s="341">
        <f aca="true" t="array" ref="I545">SUM(IF($D$12:$D$503=M22,IF($I$12:$I$503&gt;-999999999999999,$I$12:$I$503,0),0))</f>
        <v>324000</v>
      </c>
      <c r="J545" s="416"/>
    </row>
    <row r="546" spans="4:10" ht="15.75">
      <c r="D546" s="551" t="s">
        <v>809</v>
      </c>
      <c r="E546" s="552"/>
      <c r="F546" s="553"/>
      <c r="G546" s="336">
        <f aca="true" t="array" ref="G546">SUM(IF($D$12:$D$503=M23,IF($G$12:$G$503&gt;-999999999999999,$G$12:$G$503,0),0))</f>
        <v>0</v>
      </c>
      <c r="H546" s="337">
        <f aca="true" t="array" ref="H546">SUM(IF($D$12:$D$503=M23,IF($H$12:$H$503&gt;-999999999999999,$H$12:$H$503,0),0))</f>
        <v>0</v>
      </c>
      <c r="I546" s="338">
        <f aca="true" t="array" ref="I546">SUM(IF($D$12:$D$503=M23,IF($I$12:$I$503&gt;-999999999999999,$I$12:$I$503,0),0))</f>
        <v>0</v>
      </c>
      <c r="J546" s="416"/>
    </row>
    <row r="547" spans="4:10" ht="15.75">
      <c r="D547" s="554" t="s">
        <v>810</v>
      </c>
      <c r="E547" s="555"/>
      <c r="F547" s="556"/>
      <c r="G547" s="339">
        <f aca="true" t="array" ref="G547">SUM(IF($D$12:$D$503=M24,IF($G$12:$G$503&gt;-999999999999999,$G$12:$G$503,0),0))</f>
        <v>238928.93</v>
      </c>
      <c r="H547" s="340">
        <f aca="true" t="array" ref="H547">SUM(IF($D$12:$D$503=M24,IF($H$12:$H$503&gt;-999999999999999,$H$12:$H$503,0),0))</f>
        <v>8500000</v>
      </c>
      <c r="I547" s="341">
        <f aca="true" t="array" ref="I547">SUM(IF($D$12:$D$503=M24,IF($I$12:$I$503&gt;-999999999999999,$I$12:$I$503,0),0))</f>
        <v>10990000</v>
      </c>
      <c r="J547" s="416"/>
    </row>
    <row r="548" spans="4:10" ht="15.75">
      <c r="D548" s="551" t="s">
        <v>811</v>
      </c>
      <c r="E548" s="552"/>
      <c r="F548" s="553"/>
      <c r="G548" s="336">
        <f aca="true" t="array" ref="G548">SUM(IF($D$12:$D$503=M25,IF($G$12:$G$503&gt;-999999999999999,$G$12:$G$503,0),0))</f>
        <v>0</v>
      </c>
      <c r="H548" s="337">
        <f aca="true" t="array" ref="H548">SUM(IF($D$12:$D$503=M25,IF($H$12:$H$503&gt;-999999999999999,$H$12:$H$503,0),0))</f>
        <v>0</v>
      </c>
      <c r="I548" s="338">
        <f aca="true" t="array" ref="I548">SUM(IF($D$12:$D$503=M25,IF($I$12:$I$503&gt;-999999999999999,$I$12:$I$503,0),0))</f>
        <v>0</v>
      </c>
      <c r="J548" s="416"/>
    </row>
    <row r="549" spans="4:10" ht="15.75">
      <c r="D549" s="554" t="s">
        <v>812</v>
      </c>
      <c r="E549" s="555"/>
      <c r="F549" s="556"/>
      <c r="G549" s="339">
        <f aca="true" t="array" ref="G549">SUM(IF($D$12:$D$503=M26,IF($G$12:$G$503&gt;-999999999999999,$G$12:$G$503,0),0))</f>
        <v>0</v>
      </c>
      <c r="H549" s="340">
        <f aca="true" t="array" ref="H549">SUM(IF($D$12:$D$503=M26,IF($H$12:$H$503&gt;-999999999999999,$H$12:$H$503,0),0))</f>
        <v>0</v>
      </c>
      <c r="I549" s="341">
        <f aca="true" t="array" ref="I549">SUM(IF($D$12:$D$503=M26,IF($I$12:$I$503&gt;-999999999999999,$I$12:$I$503,0),0))</f>
        <v>0</v>
      </c>
      <c r="J549" s="416"/>
    </row>
    <row r="550" spans="4:10" ht="15.75">
      <c r="D550" s="551" t="s">
        <v>813</v>
      </c>
      <c r="E550" s="552"/>
      <c r="F550" s="553"/>
      <c r="G550" s="336">
        <f aca="true" t="array" ref="G550">SUM(IF($D$12:$D$503=M27,IF($G$12:$G$503&gt;-999999999999999,$G$12:$G$503,0),0))</f>
        <v>0</v>
      </c>
      <c r="H550" s="337">
        <f aca="true" t="array" ref="H550">SUM(IF($D$12:$D$503=M27,IF($H$12:$H$503&gt;-999999999999999,$H$12:$H$503,0),0))</f>
        <v>0</v>
      </c>
      <c r="I550" s="338">
        <f aca="true" t="array" ref="I550">SUM(IF($D$12:$D$503=M27,IF($I$12:$I$503&gt;-999999999999999,$I$12:$I$503,0),0))</f>
        <v>0</v>
      </c>
      <c r="J550" s="416"/>
    </row>
    <row r="551" spans="4:10" ht="15.75">
      <c r="D551" s="554" t="s">
        <v>814</v>
      </c>
      <c r="E551" s="555"/>
      <c r="F551" s="556"/>
      <c r="G551" s="339">
        <f aca="true" t="array" ref="G551">SUM(IF($D$12:$D$503=M28,IF($G$12:$G$503&gt;-999999999999999,$G$12:$G$503,0),0))</f>
        <v>0</v>
      </c>
      <c r="H551" s="340">
        <f aca="true" t="array" ref="H551">SUM(IF($D$12:$D$503=M28,IF($H$12:$H$503&gt;-999999999999999,$H$12:$H$503,0),0))</f>
        <v>0</v>
      </c>
      <c r="I551" s="341">
        <f aca="true" t="array" ref="I551">SUM(IF($D$12:$D$503=M28,IF($I$12:$I$503&gt;-999999999999999,$I$12:$I$503,0),0))</f>
        <v>0</v>
      </c>
      <c r="J551" s="416"/>
    </row>
    <row r="552" spans="4:10" ht="16.5" thickBot="1">
      <c r="D552" s="557" t="s">
        <v>815</v>
      </c>
      <c r="E552" s="558"/>
      <c r="F552" s="559"/>
      <c r="G552" s="342">
        <f aca="true" t="array" ref="G552">SUM(IF($D$12:$D$503=M29,IF($G$12:$G$503&gt;-999999999999999,$G$12:$G$503,0),0))</f>
        <v>1170662.7500000002</v>
      </c>
      <c r="H552" s="343">
        <f aca="true" t="array" ref="H552">SUM(IF($D$12:$D$503=M29,IF($H$12:$H$503&gt;-999999999999999,$H$12:$H$503,0),0))</f>
        <v>2742000</v>
      </c>
      <c r="I552" s="344">
        <f aca="true" t="array" ref="I552">SUM(IF($D$12:$D$503=M29,IF($I$12:$I$503&gt;-999999999999999,$I$12:$I$503,0),0))</f>
        <v>3135000</v>
      </c>
      <c r="J552" s="416"/>
    </row>
    <row r="553" spans="4:10" ht="16.5" thickBot="1">
      <c r="D553" s="575" t="s">
        <v>816</v>
      </c>
      <c r="E553" s="576"/>
      <c r="F553" s="577"/>
      <c r="G553" s="345">
        <f>SUM(G534:G552)+G533+G529+G525</f>
        <v>17923638.22</v>
      </c>
      <c r="H553" s="346">
        <f>SUM(H534:H552)+H533+H529+H525</f>
        <v>48580718.788</v>
      </c>
      <c r="I553" s="347">
        <f>SUM(I534:I552)+I533+I529+I525</f>
        <v>58388000</v>
      </c>
      <c r="J553" s="416"/>
    </row>
  </sheetData>
  <sheetProtection formatCells="0" formatColumns="0" formatRows="0" insertRows="0" deleteRows="0"/>
  <autoFilter ref="D6:F500"/>
  <mergeCells count="55">
    <mergeCell ref="Q5:T5"/>
    <mergeCell ref="D519:D521"/>
    <mergeCell ref="D4:F5"/>
    <mergeCell ref="G4:G5"/>
    <mergeCell ref="E519:E521"/>
    <mergeCell ref="F519:F521"/>
    <mergeCell ref="D522:F522"/>
    <mergeCell ref="C4:C5"/>
    <mergeCell ref="J6:J7"/>
    <mergeCell ref="H4:H5"/>
    <mergeCell ref="L2:M2"/>
    <mergeCell ref="L3:M3"/>
    <mergeCell ref="J4:J5"/>
    <mergeCell ref="D553:F553"/>
    <mergeCell ref="A1:I1"/>
    <mergeCell ref="G517:H517"/>
    <mergeCell ref="A2:I2"/>
    <mergeCell ref="A467:C467"/>
    <mergeCell ref="A504:C504"/>
    <mergeCell ref="A506:C506"/>
    <mergeCell ref="I4:I5"/>
    <mergeCell ref="A4:A5"/>
    <mergeCell ref="B4:B5"/>
    <mergeCell ref="D538:F538"/>
    <mergeCell ref="I523:I524"/>
    <mergeCell ref="G523:G524"/>
    <mergeCell ref="H523:H524"/>
    <mergeCell ref="D523:F524"/>
    <mergeCell ref="D529:F529"/>
    <mergeCell ref="D525:F525"/>
    <mergeCell ref="D533:F533"/>
    <mergeCell ref="D534:F534"/>
    <mergeCell ref="D535:F535"/>
    <mergeCell ref="D536:F536"/>
    <mergeCell ref="D537:F537"/>
    <mergeCell ref="D526:F526"/>
    <mergeCell ref="D527:F527"/>
    <mergeCell ref="D528:F528"/>
    <mergeCell ref="D530:F530"/>
    <mergeCell ref="D531:F531"/>
    <mergeCell ref="D532:F532"/>
    <mergeCell ref="D539:F539"/>
    <mergeCell ref="D540:F540"/>
    <mergeCell ref="D541:F541"/>
    <mergeCell ref="D542:F542"/>
    <mergeCell ref="D543:F543"/>
    <mergeCell ref="D545:F545"/>
    <mergeCell ref="D544:F544"/>
    <mergeCell ref="D546:F546"/>
    <mergeCell ref="D547:F547"/>
    <mergeCell ref="D548:F548"/>
    <mergeCell ref="D549:F549"/>
    <mergeCell ref="D551:F551"/>
    <mergeCell ref="D552:F552"/>
    <mergeCell ref="D550:F550"/>
  </mergeCells>
  <conditionalFormatting sqref="J4:J5">
    <cfRule type="containsText" priority="1" dxfId="0" operator="containsText" stopIfTrue="1" text="abaixo">
      <formula>NOT(ISERROR(SEARCH("abaixo",J4)))</formula>
    </cfRule>
  </conditionalFormatting>
  <dataValidations count="1">
    <dataValidation type="list" allowBlank="1" showInputMessage="1" showErrorMessage="1" sqref="D519:F519 D12:F502">
      <formula1>$M$8:$M$29</formula1>
    </dataValidation>
  </dataValidations>
  <printOptions horizontalCentered="1"/>
  <pageMargins left="0.1968503937007874" right="0.1968503937007874" top="0.5905511811023623" bottom="0.1968503937007874" header="0.2755905511811024" footer="0.5118110236220472"/>
  <pageSetup horizontalDpi="600" verticalDpi="600" orientation="landscape" paperSize="9" scale="68" r:id="rId4"/>
  <headerFooter alignWithMargins="0">
    <oddHeader>&amp;LPrevisão da Receita com Base na Tendência Histórica, Econômica e Inflacionária
&amp;RExercício de 2011 - Pág. &amp;P</oddHeader>
  </headerFooter>
  <rowBreaks count="8" manualBreakCount="8">
    <brk id="57" max="9" man="1"/>
    <brk id="121" max="9" man="1"/>
    <brk id="180" max="9" man="1"/>
    <brk id="239" max="9" man="1"/>
    <brk id="296" max="9" man="1"/>
    <brk id="358" max="9" man="1"/>
    <brk id="420" max="9" man="1"/>
    <brk id="515" max="9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A1:G25"/>
  <sheetViews>
    <sheetView tabSelected="1" view="pageBreakPreview" zoomScaleNormal="70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33.421875" style="1" customWidth="1"/>
    <col min="2" max="2" width="17.7109375" style="1" customWidth="1"/>
    <col min="3" max="3" width="16.28125" style="1" customWidth="1"/>
    <col min="4" max="4" width="2.28125" style="1" customWidth="1"/>
    <col min="5" max="5" width="33.421875" style="1" customWidth="1"/>
    <col min="6" max="6" width="17.57421875" style="1" customWidth="1"/>
    <col min="7" max="7" width="16.421875" style="1" customWidth="1"/>
    <col min="8" max="16384" width="9.140625" style="1" customWidth="1"/>
  </cols>
  <sheetData>
    <row r="1" spans="1:7" ht="12.75" customHeight="1">
      <c r="A1" s="716"/>
      <c r="B1" s="716"/>
      <c r="C1" s="716"/>
      <c r="D1" s="716"/>
      <c r="E1" s="716"/>
      <c r="F1" s="716"/>
      <c r="G1" s="716"/>
    </row>
    <row r="2" spans="1:7" ht="12.75" customHeight="1">
      <c r="A2" s="716"/>
      <c r="B2" s="716"/>
      <c r="C2" s="716"/>
      <c r="D2" s="716"/>
      <c r="E2" s="716"/>
      <c r="F2" s="716"/>
      <c r="G2" s="716"/>
    </row>
    <row r="3" spans="1:7" ht="12.75" customHeight="1">
      <c r="A3" s="716"/>
      <c r="B3" s="716"/>
      <c r="C3" s="716"/>
      <c r="D3" s="716"/>
      <c r="E3" s="716"/>
      <c r="F3" s="716"/>
      <c r="G3" s="716"/>
    </row>
    <row r="4" spans="1:7" ht="12.75" customHeight="1">
      <c r="A4" s="716"/>
      <c r="B4" s="716"/>
      <c r="C4" s="716"/>
      <c r="D4" s="716"/>
      <c r="E4" s="716"/>
      <c r="F4" s="716"/>
      <c r="G4" s="716"/>
    </row>
    <row r="5" spans="1:7" ht="12.75" customHeight="1">
      <c r="A5" s="716"/>
      <c r="B5" s="716"/>
      <c r="C5" s="716"/>
      <c r="D5" s="716"/>
      <c r="E5" s="716"/>
      <c r="F5" s="716"/>
      <c r="G5" s="716"/>
    </row>
    <row r="6" spans="1:7" ht="12.75" customHeight="1">
      <c r="A6" s="717"/>
      <c r="B6" s="717"/>
      <c r="C6" s="717"/>
      <c r="D6" s="717"/>
      <c r="E6" s="717"/>
      <c r="F6" s="717"/>
      <c r="G6" s="717"/>
    </row>
    <row r="7" spans="1:7" ht="12.75">
      <c r="A7" s="581"/>
      <c r="B7" s="581"/>
      <c r="C7" s="581"/>
      <c r="D7" s="581"/>
      <c r="E7" s="581"/>
      <c r="F7" s="581"/>
      <c r="G7" s="581"/>
    </row>
    <row r="8" spans="1:7" ht="15.75">
      <c r="A8" s="701" t="s">
        <v>647</v>
      </c>
      <c r="B8" s="701"/>
      <c r="C8" s="701"/>
      <c r="D8" s="701"/>
      <c r="E8" s="701"/>
      <c r="F8" s="701"/>
      <c r="G8" s="701"/>
    </row>
    <row r="9" spans="1:7" ht="15.75">
      <c r="A9" s="701" t="s">
        <v>247</v>
      </c>
      <c r="B9" s="701"/>
      <c r="C9" s="701"/>
      <c r="D9" s="701"/>
      <c r="E9" s="701"/>
      <c r="F9" s="701"/>
      <c r="G9" s="701"/>
    </row>
    <row r="10" spans="1:7" ht="13.5" thickBot="1">
      <c r="A10" s="718"/>
      <c r="B10" s="718"/>
      <c r="C10" s="718"/>
      <c r="D10" s="718"/>
      <c r="E10" s="718"/>
      <c r="F10" s="718"/>
      <c r="G10" s="718"/>
    </row>
    <row r="11" spans="1:7" ht="15.75">
      <c r="A11" s="703" t="s">
        <v>204</v>
      </c>
      <c r="B11" s="704"/>
      <c r="C11" s="705"/>
      <c r="D11" s="465"/>
      <c r="E11" s="703" t="s">
        <v>205</v>
      </c>
      <c r="F11" s="704"/>
      <c r="G11" s="705"/>
    </row>
    <row r="12" spans="1:7" ht="12.75" customHeight="1">
      <c r="A12" s="685"/>
      <c r="B12" s="686"/>
      <c r="C12" s="687"/>
      <c r="D12" s="165"/>
      <c r="E12" s="685"/>
      <c r="F12" s="686"/>
      <c r="G12" s="687"/>
    </row>
    <row r="13" spans="1:7" ht="15" customHeight="1">
      <c r="A13" s="679" t="s">
        <v>248</v>
      </c>
      <c r="B13" s="680"/>
      <c r="C13" s="681"/>
      <c r="D13" s="165"/>
      <c r="E13" s="679" t="s">
        <v>249</v>
      </c>
      <c r="F13" s="680"/>
      <c r="G13" s="681"/>
    </row>
    <row r="14" spans="1:7" ht="15" customHeight="1">
      <c r="A14" s="682"/>
      <c r="B14" s="683"/>
      <c r="C14" s="684"/>
      <c r="D14" s="165"/>
      <c r="E14" s="685"/>
      <c r="F14" s="686"/>
      <c r="G14" s="687"/>
    </row>
    <row r="15" spans="1:7" ht="15.75">
      <c r="A15" s="120" t="s">
        <v>207</v>
      </c>
      <c r="B15" s="121" t="s">
        <v>208</v>
      </c>
      <c r="C15" s="122" t="s">
        <v>209</v>
      </c>
      <c r="D15" s="105"/>
      <c r="E15" s="120" t="s">
        <v>207</v>
      </c>
      <c r="F15" s="121" t="s">
        <v>208</v>
      </c>
      <c r="G15" s="122" t="s">
        <v>209</v>
      </c>
    </row>
    <row r="16" spans="1:7" ht="16.5" thickBot="1">
      <c r="A16" s="123"/>
      <c r="B16" s="124"/>
      <c r="C16" s="125"/>
      <c r="D16" s="106"/>
      <c r="E16" s="123"/>
      <c r="F16" s="110"/>
      <c r="G16" s="125"/>
    </row>
    <row r="17" spans="1:7" ht="30" customHeight="1">
      <c r="A17" s="126"/>
      <c r="B17" s="153"/>
      <c r="C17" s="128"/>
      <c r="D17" s="107"/>
      <c r="E17" s="182"/>
      <c r="F17" s="154"/>
      <c r="G17" s="130"/>
    </row>
    <row r="18" spans="1:7" ht="30" customHeight="1">
      <c r="A18" s="180"/>
      <c r="B18" s="154"/>
      <c r="C18" s="130"/>
      <c r="D18" s="107"/>
      <c r="E18" s="182"/>
      <c r="F18" s="154"/>
      <c r="G18" s="130"/>
    </row>
    <row r="19" spans="1:7" ht="30" customHeight="1">
      <c r="A19" s="515" t="s">
        <v>231</v>
      </c>
      <c r="B19" s="183">
        <f>'Receita Prefeitura'!I7</f>
        <v>42017000</v>
      </c>
      <c r="C19" s="514">
        <f>B19/B22</f>
        <v>1</v>
      </c>
      <c r="D19" s="117"/>
      <c r="E19" s="175" t="s">
        <v>247</v>
      </c>
      <c r="F19" s="487">
        <v>1261300</v>
      </c>
      <c r="G19" s="514">
        <f>F19/B22</f>
        <v>0.0300188019135112</v>
      </c>
    </row>
    <row r="20" spans="1:7" ht="30" customHeight="1">
      <c r="A20" s="175"/>
      <c r="B20" s="183"/>
      <c r="C20" s="184"/>
      <c r="D20" s="117"/>
      <c r="E20" s="175"/>
      <c r="F20" s="487"/>
      <c r="G20" s="184"/>
    </row>
    <row r="21" spans="1:7" ht="30" customHeight="1" thickBot="1">
      <c r="A21" s="185"/>
      <c r="B21" s="183"/>
      <c r="C21" s="184"/>
      <c r="D21" s="115"/>
      <c r="E21" s="186"/>
      <c r="F21" s="183"/>
      <c r="G21" s="184"/>
    </row>
    <row r="22" spans="1:7" ht="30" customHeight="1" thickBot="1">
      <c r="A22" s="187" t="s">
        <v>245</v>
      </c>
      <c r="B22" s="188">
        <f>B19</f>
        <v>42017000</v>
      </c>
      <c r="C22" s="189">
        <f>SUM(C19:C19)</f>
        <v>1</v>
      </c>
      <c r="D22" s="118"/>
      <c r="E22" s="513" t="s">
        <v>222</v>
      </c>
      <c r="F22" s="188">
        <f>F19</f>
        <v>1261300</v>
      </c>
      <c r="G22" s="190">
        <f>G19</f>
        <v>0.0300188019135112</v>
      </c>
    </row>
    <row r="23" spans="1:7" ht="15.75">
      <c r="A23" s="116"/>
      <c r="B23" s="116"/>
      <c r="C23" s="116"/>
      <c r="D23" s="116"/>
      <c r="E23" s="116"/>
      <c r="F23" s="116"/>
      <c r="G23" s="116"/>
    </row>
    <row r="24" spans="1:7" ht="15.75">
      <c r="A24" s="116"/>
      <c r="B24" s="116"/>
      <c r="C24" s="116"/>
      <c r="D24" s="116"/>
      <c r="E24" s="116"/>
      <c r="F24" s="116"/>
      <c r="G24" s="116"/>
    </row>
    <row r="25" spans="1:7" ht="15.75">
      <c r="A25" s="116"/>
      <c r="B25" s="116"/>
      <c r="C25" s="116"/>
      <c r="D25" s="116"/>
      <c r="E25" s="707" t="s">
        <v>481</v>
      </c>
      <c r="F25" s="707"/>
      <c r="G25" s="512">
        <f>B22*3%</f>
        <v>1260510</v>
      </c>
    </row>
    <row r="29" ht="12.75" customHeight="1"/>
    <row r="30" ht="12.75" customHeight="1"/>
    <row r="31" ht="12.75" customHeight="1"/>
    <row r="32" ht="12.75" customHeight="1"/>
    <row r="33" ht="12.75" customHeight="1"/>
    <row r="37" ht="12.75" customHeight="1"/>
    <row r="38" ht="12.75" customHeight="1"/>
  </sheetData>
  <sheetProtection/>
  <mergeCells count="15">
    <mergeCell ref="A1:G1"/>
    <mergeCell ref="A4:G4"/>
    <mergeCell ref="A5:G5"/>
    <mergeCell ref="A6:G6"/>
    <mergeCell ref="A2:G2"/>
    <mergeCell ref="A3:G3"/>
    <mergeCell ref="E25:F25"/>
    <mergeCell ref="A10:G10"/>
    <mergeCell ref="A11:C12"/>
    <mergeCell ref="A7:G7"/>
    <mergeCell ref="A13:C14"/>
    <mergeCell ref="A8:G8"/>
    <mergeCell ref="A9:G9"/>
    <mergeCell ref="E11:G12"/>
    <mergeCell ref="E13:G14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/>
  <dimension ref="A1:L32"/>
  <sheetViews>
    <sheetView view="pageBreakPreview" zoomScaleSheetLayoutView="100" zoomScalePageLayoutView="0" workbookViewId="0" topLeftCell="A13">
      <selection activeCell="A1" sqref="A1:H1"/>
    </sheetView>
  </sheetViews>
  <sheetFormatPr defaultColWidth="9.140625" defaultRowHeight="12.75"/>
  <cols>
    <col min="1" max="1" width="38.140625" style="452" customWidth="1"/>
    <col min="2" max="2" width="16.421875" style="452" bestFit="1" customWidth="1"/>
    <col min="3" max="3" width="11.57421875" style="452" customWidth="1"/>
    <col min="4" max="4" width="2.57421875" style="452" customWidth="1"/>
    <col min="5" max="5" width="10.00390625" style="452" customWidth="1"/>
    <col min="6" max="6" width="41.28125" style="452" customWidth="1"/>
    <col min="7" max="7" width="15.28125" style="452" bestFit="1" customWidth="1"/>
    <col min="8" max="8" width="7.8515625" style="452" bestFit="1" customWidth="1"/>
    <col min="9" max="9" width="9.140625" style="452" customWidth="1"/>
    <col min="10" max="10" width="12.7109375" style="452" bestFit="1" customWidth="1"/>
    <col min="11" max="11" width="30.00390625" style="452" customWidth="1"/>
    <col min="12" max="12" width="13.421875" style="452" bestFit="1" customWidth="1"/>
    <col min="13" max="16384" width="9.140625" style="452" customWidth="1"/>
  </cols>
  <sheetData>
    <row r="1" spans="1:8" ht="15" customHeight="1">
      <c r="A1" s="716"/>
      <c r="B1" s="716"/>
      <c r="C1" s="716"/>
      <c r="D1" s="716"/>
      <c r="E1" s="716"/>
      <c r="F1" s="716"/>
      <c r="G1" s="716"/>
      <c r="H1" s="716"/>
    </row>
    <row r="2" spans="1:8" ht="15" customHeight="1">
      <c r="A2" s="716"/>
      <c r="B2" s="716"/>
      <c r="C2" s="716"/>
      <c r="D2" s="716"/>
      <c r="E2" s="716"/>
      <c r="F2" s="716"/>
      <c r="G2" s="716"/>
      <c r="H2" s="716"/>
    </row>
    <row r="3" spans="1:8" ht="15" customHeight="1">
      <c r="A3" s="716"/>
      <c r="B3" s="716"/>
      <c r="C3" s="716"/>
      <c r="D3" s="716"/>
      <c r="E3" s="716"/>
      <c r="F3" s="716"/>
      <c r="G3" s="716"/>
      <c r="H3" s="716"/>
    </row>
    <row r="4" spans="1:8" ht="15" customHeight="1">
      <c r="A4" s="716"/>
      <c r="B4" s="716"/>
      <c r="C4" s="716"/>
      <c r="D4" s="716"/>
      <c r="E4" s="716"/>
      <c r="F4" s="716"/>
      <c r="G4" s="716"/>
      <c r="H4" s="716"/>
    </row>
    <row r="5" spans="1:8" ht="15" customHeight="1">
      <c r="A5" s="716"/>
      <c r="B5" s="716"/>
      <c r="C5" s="716"/>
      <c r="D5" s="716"/>
      <c r="E5" s="716"/>
      <c r="F5" s="716"/>
      <c r="G5" s="716"/>
      <c r="H5" s="716"/>
    </row>
    <row r="6" spans="1:8" ht="15" customHeight="1">
      <c r="A6" s="717"/>
      <c r="B6" s="717"/>
      <c r="C6" s="717"/>
      <c r="D6" s="717"/>
      <c r="E6" s="717"/>
      <c r="F6" s="717"/>
      <c r="G6" s="717"/>
      <c r="H6" s="717"/>
    </row>
    <row r="7" spans="1:8" ht="15" customHeight="1">
      <c r="A7" s="581"/>
      <c r="B7" s="581"/>
      <c r="C7" s="581"/>
      <c r="D7" s="581"/>
      <c r="E7" s="581"/>
      <c r="F7" s="581"/>
      <c r="G7" s="581"/>
      <c r="H7" s="581"/>
    </row>
    <row r="8" spans="1:8" ht="15" customHeight="1">
      <c r="A8" s="464"/>
      <c r="B8" s="464"/>
      <c r="C8" s="464"/>
      <c r="D8" s="464"/>
      <c r="E8" s="464"/>
      <c r="F8" s="464"/>
      <c r="G8" s="464"/>
      <c r="H8" s="464"/>
    </row>
    <row r="9" spans="1:8" ht="15.75">
      <c r="A9" s="732" t="s">
        <v>1021</v>
      </c>
      <c r="B9" s="732"/>
      <c r="C9" s="732"/>
      <c r="D9" s="732"/>
      <c r="E9" s="732"/>
      <c r="F9" s="732"/>
      <c r="G9" s="732"/>
      <c r="H9" s="732"/>
    </row>
    <row r="10" spans="1:8" ht="30" customHeight="1" thickBot="1">
      <c r="A10" s="698"/>
      <c r="B10" s="698"/>
      <c r="C10" s="698"/>
      <c r="D10" s="698"/>
      <c r="E10" s="698"/>
      <c r="F10" s="698"/>
      <c r="G10" s="698"/>
      <c r="H10" s="698"/>
    </row>
    <row r="11" spans="1:8" ht="15.75">
      <c r="A11" s="733" t="s">
        <v>204</v>
      </c>
      <c r="B11" s="734"/>
      <c r="C11" s="735"/>
      <c r="D11" s="472"/>
      <c r="E11" s="733" t="s">
        <v>205</v>
      </c>
      <c r="F11" s="734"/>
      <c r="G11" s="734"/>
      <c r="H11" s="735"/>
    </row>
    <row r="12" spans="1:8" ht="12.75" customHeight="1">
      <c r="A12" s="726"/>
      <c r="B12" s="727"/>
      <c r="C12" s="728"/>
      <c r="D12" s="471"/>
      <c r="E12" s="726"/>
      <c r="F12" s="727"/>
      <c r="G12" s="727"/>
      <c r="H12" s="728"/>
    </row>
    <row r="13" spans="1:8" ht="12.75" customHeight="1">
      <c r="A13" s="720" t="s">
        <v>649</v>
      </c>
      <c r="B13" s="721"/>
      <c r="C13" s="722"/>
      <c r="D13" s="471"/>
      <c r="E13" s="720" t="s">
        <v>648</v>
      </c>
      <c r="F13" s="721"/>
      <c r="G13" s="721"/>
      <c r="H13" s="722"/>
    </row>
    <row r="14" spans="1:8" ht="12.75" customHeight="1">
      <c r="A14" s="723"/>
      <c r="B14" s="724"/>
      <c r="C14" s="725"/>
      <c r="D14" s="471"/>
      <c r="E14" s="723"/>
      <c r="F14" s="724"/>
      <c r="G14" s="724"/>
      <c r="H14" s="725"/>
    </row>
    <row r="15" spans="1:8" ht="15.75">
      <c r="A15" s="726"/>
      <c r="B15" s="727"/>
      <c r="C15" s="728"/>
      <c r="D15" s="471"/>
      <c r="E15" s="726"/>
      <c r="F15" s="727"/>
      <c r="G15" s="727"/>
      <c r="H15" s="728"/>
    </row>
    <row r="16" spans="1:8" ht="15.75">
      <c r="A16" s="473" t="s">
        <v>207</v>
      </c>
      <c r="B16" s="474" t="s">
        <v>208</v>
      </c>
      <c r="C16" s="475" t="s">
        <v>209</v>
      </c>
      <c r="D16" s="476"/>
      <c r="E16" s="729" t="s">
        <v>207</v>
      </c>
      <c r="F16" s="730"/>
      <c r="G16" s="474" t="s">
        <v>208</v>
      </c>
      <c r="H16" s="475" t="s">
        <v>209</v>
      </c>
    </row>
    <row r="17" spans="1:8" ht="8.25" customHeight="1" thickBot="1">
      <c r="A17" s="477"/>
      <c r="B17" s="143"/>
      <c r="C17" s="478"/>
      <c r="D17" s="132"/>
      <c r="E17" s="477"/>
      <c r="F17" s="143"/>
      <c r="G17" s="479"/>
      <c r="H17" s="478"/>
    </row>
    <row r="18" spans="1:8" ht="30" customHeight="1">
      <c r="A18" s="480"/>
      <c r="B18" s="481"/>
      <c r="C18" s="482"/>
      <c r="D18" s="483"/>
      <c r="E18" s="133"/>
      <c r="F18" s="132"/>
      <c r="G18" s="484"/>
      <c r="H18" s="485"/>
    </row>
    <row r="19" spans="1:11" ht="30" customHeight="1">
      <c r="A19" s="486"/>
      <c r="B19" s="487"/>
      <c r="C19" s="488"/>
      <c r="D19" s="489"/>
      <c r="E19" s="509" t="str">
        <f>"08.243"</f>
        <v>08.243</v>
      </c>
      <c r="F19" s="507" t="s">
        <v>232</v>
      </c>
      <c r="G19" s="487">
        <v>1303056</v>
      </c>
      <c r="H19" s="508">
        <f>G19/$B$31</f>
        <v>0.5005977718017672</v>
      </c>
      <c r="J19" s="719" t="s">
        <v>650</v>
      </c>
      <c r="K19" s="719"/>
    </row>
    <row r="20" spans="1:12" ht="30" customHeight="1" thickBot="1">
      <c r="A20" s="486" t="s">
        <v>231</v>
      </c>
      <c r="B20" s="487">
        <f>'Receita Prefeitura'!I8</f>
        <v>2603000</v>
      </c>
      <c r="C20" s="488">
        <f>B20/$B$31</f>
        <v>1</v>
      </c>
      <c r="D20" s="491"/>
      <c r="E20" s="492"/>
      <c r="F20" s="491"/>
      <c r="G20" s="487"/>
      <c r="H20" s="488"/>
      <c r="J20" s="503">
        <f>B31*1%</f>
        <v>26030</v>
      </c>
      <c r="K20" s="504"/>
      <c r="L20" s="504"/>
    </row>
    <row r="21" spans="1:12" ht="18.75" customHeight="1" thickBot="1">
      <c r="A21" s="501"/>
      <c r="B21" s="487"/>
      <c r="C21" s="502"/>
      <c r="D21" s="470"/>
      <c r="E21" s="736" t="s">
        <v>222</v>
      </c>
      <c r="F21" s="737"/>
      <c r="G21" s="494">
        <f>G19</f>
        <v>1303056</v>
      </c>
      <c r="H21" s="496">
        <f>H19</f>
        <v>0.5005977718017672</v>
      </c>
      <c r="J21" s="504"/>
      <c r="K21" s="504"/>
      <c r="L21" s="504"/>
    </row>
    <row r="22" spans="1:12" ht="15.75" customHeight="1">
      <c r="A22" s="486"/>
      <c r="B22" s="487"/>
      <c r="C22" s="488"/>
      <c r="D22" s="451"/>
      <c r="E22" s="510"/>
      <c r="F22" s="510"/>
      <c r="G22" s="510"/>
      <c r="H22" s="510"/>
      <c r="J22" s="505"/>
      <c r="K22" s="505"/>
      <c r="L22" s="505"/>
    </row>
    <row r="23" spans="1:12" ht="15.75" customHeight="1" thickBot="1">
      <c r="A23" s="486"/>
      <c r="B23" s="487"/>
      <c r="C23" s="488"/>
      <c r="D23" s="451"/>
      <c r="E23" s="511"/>
      <c r="F23" s="511"/>
      <c r="G23" s="511"/>
      <c r="H23" s="511"/>
      <c r="J23" s="505"/>
      <c r="K23" s="505"/>
      <c r="L23" s="505"/>
    </row>
    <row r="24" spans="1:12" ht="15.75">
      <c r="A24" s="490"/>
      <c r="B24" s="487"/>
      <c r="C24" s="488"/>
      <c r="D24" s="451"/>
      <c r="E24" s="733" t="s">
        <v>1020</v>
      </c>
      <c r="F24" s="734"/>
      <c r="G24" s="734"/>
      <c r="H24" s="735"/>
      <c r="J24" s="505"/>
      <c r="K24" s="505"/>
      <c r="L24" s="505"/>
    </row>
    <row r="25" spans="1:12" ht="15.75">
      <c r="A25" s="486"/>
      <c r="B25" s="487"/>
      <c r="C25" s="488"/>
      <c r="E25" s="723"/>
      <c r="F25" s="724"/>
      <c r="G25" s="724"/>
      <c r="H25" s="725"/>
      <c r="J25" s="505"/>
      <c r="K25" s="505"/>
      <c r="L25" s="505"/>
    </row>
    <row r="26" spans="1:12" ht="12.75" customHeight="1" thickBot="1">
      <c r="A26" s="486" t="s">
        <v>233</v>
      </c>
      <c r="B26" s="487">
        <f>'Receita Prefeitura'!I419</f>
        <v>0</v>
      </c>
      <c r="C26" s="488">
        <f>B26/$B$31</f>
        <v>0</v>
      </c>
      <c r="E26" s="741"/>
      <c r="F26" s="742"/>
      <c r="G26" s="742"/>
      <c r="H26" s="743"/>
      <c r="J26" s="505"/>
      <c r="K26" s="505"/>
      <c r="L26" s="505"/>
    </row>
    <row r="27" spans="1:12" ht="30" customHeight="1">
      <c r="A27" s="501"/>
      <c r="B27" s="487"/>
      <c r="C27" s="502"/>
      <c r="E27" s="497"/>
      <c r="F27" s="498"/>
      <c r="G27" s="481"/>
      <c r="H27" s="499"/>
      <c r="J27" s="505"/>
      <c r="K27" s="505"/>
      <c r="L27" s="505"/>
    </row>
    <row r="28" spans="1:11" ht="15.75">
      <c r="A28" s="501"/>
      <c r="B28" s="487"/>
      <c r="C28" s="502"/>
      <c r="E28" s="740" t="str">
        <f>"99.999"</f>
        <v>99.999</v>
      </c>
      <c r="F28" s="739" t="s">
        <v>247</v>
      </c>
      <c r="G28" s="709">
        <v>3061000</v>
      </c>
      <c r="H28" s="731">
        <f>G28/$B$31</f>
        <v>1.1759508259700346</v>
      </c>
      <c r="J28" s="738" t="s">
        <v>481</v>
      </c>
      <c r="K28" s="738"/>
    </row>
    <row r="29" spans="1:10" ht="15.75">
      <c r="A29" s="501"/>
      <c r="B29" s="487"/>
      <c r="C29" s="502"/>
      <c r="E29" s="740"/>
      <c r="F29" s="739"/>
      <c r="G29" s="709"/>
      <c r="H29" s="731"/>
      <c r="J29" s="506">
        <f>B20*3%</f>
        <v>78090</v>
      </c>
    </row>
    <row r="30" spans="1:8" ht="30" customHeight="1" thickBot="1">
      <c r="A30" s="501"/>
      <c r="B30" s="487"/>
      <c r="C30" s="502"/>
      <c r="E30" s="186"/>
      <c r="F30" s="115"/>
      <c r="G30" s="183"/>
      <c r="H30" s="184"/>
    </row>
    <row r="31" spans="1:8" ht="16.5" thickBot="1">
      <c r="A31" s="493" t="s">
        <v>245</v>
      </c>
      <c r="B31" s="494">
        <f>SUM(B18:B30)</f>
        <v>2603000</v>
      </c>
      <c r="C31" s="495">
        <f>SUM(C19:C22)</f>
        <v>1</v>
      </c>
      <c r="E31" s="736" t="s">
        <v>222</v>
      </c>
      <c r="F31" s="737"/>
      <c r="G31" s="188">
        <f>G28</f>
        <v>3061000</v>
      </c>
      <c r="H31" s="190">
        <f>H28</f>
        <v>1.1759508259700346</v>
      </c>
    </row>
    <row r="32" spans="5:8" ht="15.75">
      <c r="E32" s="116"/>
      <c r="F32" s="116"/>
      <c r="G32" s="116"/>
      <c r="H32" s="116"/>
    </row>
  </sheetData>
  <sheetProtection/>
  <mergeCells count="23">
    <mergeCell ref="E31:F31"/>
    <mergeCell ref="J28:K28"/>
    <mergeCell ref="F28:F29"/>
    <mergeCell ref="E28:E29"/>
    <mergeCell ref="E24:H26"/>
    <mergeCell ref="G28:G29"/>
    <mergeCell ref="E21:F21"/>
    <mergeCell ref="A1:H1"/>
    <mergeCell ref="A2:H2"/>
    <mergeCell ref="A3:H3"/>
    <mergeCell ref="A4:H4"/>
    <mergeCell ref="A5:H5"/>
    <mergeCell ref="A6:H6"/>
    <mergeCell ref="J19:K19"/>
    <mergeCell ref="A13:C15"/>
    <mergeCell ref="E13:H15"/>
    <mergeCell ref="E16:F16"/>
    <mergeCell ref="H28:H29"/>
    <mergeCell ref="A7:H7"/>
    <mergeCell ref="A9:H9"/>
    <mergeCell ref="A10:H10"/>
    <mergeCell ref="A11:C12"/>
    <mergeCell ref="E11:H12"/>
  </mergeCells>
  <printOptions horizontalCentered="1"/>
  <pageMargins left="0.7874015748031497" right="0.7874015748031497" top="0.5905511811023623" bottom="0.629921259842519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6"/>
  <dimension ref="A1:IV115"/>
  <sheetViews>
    <sheetView view="pageBreakPreview" zoomScaleSheetLayoutView="100" zoomScalePageLayoutView="0" workbookViewId="0" topLeftCell="A1">
      <pane ySplit="4" topLeftCell="A104" activePane="bottomLeft" state="frozen"/>
      <selection pane="topLeft" activeCell="A1" sqref="A1:H1"/>
      <selection pane="bottomLeft" activeCell="C80" sqref="C80"/>
    </sheetView>
  </sheetViews>
  <sheetFormatPr defaultColWidth="9.140625" defaultRowHeight="12.75"/>
  <cols>
    <col min="1" max="1" width="8.00390625" style="204" customWidth="1"/>
    <col min="2" max="2" width="13.7109375" style="204" customWidth="1"/>
    <col min="3" max="3" width="58.140625" style="204" customWidth="1"/>
    <col min="4" max="4" width="15.00390625" style="366" customWidth="1"/>
    <col min="5" max="5" width="15.00390625" style="210" customWidth="1"/>
    <col min="6" max="6" width="15.00390625" style="367" customWidth="1"/>
    <col min="7" max="16384" width="9.140625" style="204" customWidth="1"/>
  </cols>
  <sheetData>
    <row r="1" spans="2:6" ht="13.5" thickBot="1">
      <c r="B1" s="528"/>
      <c r="C1" s="529" t="s">
        <v>1027</v>
      </c>
      <c r="D1" s="530">
        <v>2012</v>
      </c>
      <c r="E1" s="628" t="s">
        <v>1026</v>
      </c>
      <c r="F1" s="629"/>
    </row>
    <row r="2" spans="1:6" ht="12.75">
      <c r="A2" s="624" t="str">
        <f>'Receita Prefeitura'!A2:I2</f>
        <v>MUNICÍPIO DE CHÃ GRANDE</v>
      </c>
      <c r="B2" s="624"/>
      <c r="C2" s="624"/>
      <c r="D2" s="624"/>
      <c r="E2" s="624"/>
      <c r="F2" s="624"/>
    </row>
    <row r="3" spans="1:6" ht="13.5" thickBot="1">
      <c r="A3" s="348"/>
      <c r="B3" s="348"/>
      <c r="C3" s="348"/>
      <c r="D3" s="349"/>
      <c r="E3" s="350"/>
      <c r="F3" s="350"/>
    </row>
    <row r="4" spans="1:6" ht="60" customHeight="1" thickBot="1">
      <c r="A4" s="351" t="s">
        <v>443</v>
      </c>
      <c r="B4" s="352" t="s">
        <v>198</v>
      </c>
      <c r="C4" s="353" t="s">
        <v>199</v>
      </c>
      <c r="D4" s="354" t="str">
        <f>'Receita Prefeitura'!G4:G4</f>
        <v>Receita Arrecadada no 1º Semestre de 2011</v>
      </c>
      <c r="E4" s="355" t="str">
        <f>'Receita Prefeitura'!H4:H5</f>
        <v>Receita Projetada para 2011</v>
      </c>
      <c r="F4" s="356" t="str">
        <f>'Receita Prefeitura'!I4:I5</f>
        <v>Previsão da Receita para 2012 (LDO)</v>
      </c>
    </row>
    <row r="5" spans="1:6" ht="12.75">
      <c r="A5" s="217"/>
      <c r="B5" s="218"/>
      <c r="C5" s="219"/>
      <c r="D5" s="357"/>
      <c r="E5" s="221"/>
      <c r="F5" s="222"/>
    </row>
    <row r="6" spans="1:6" ht="12.75">
      <c r="A6" s="526"/>
      <c r="B6" s="224" t="s">
        <v>0</v>
      </c>
      <c r="C6" s="518" t="s">
        <v>231</v>
      </c>
      <c r="D6" s="391">
        <f>D7+D31+D46</f>
        <v>604944.6000000002</v>
      </c>
      <c r="E6" s="379">
        <f>E7+E31+E46</f>
        <v>1544000</v>
      </c>
      <c r="F6" s="383">
        <f>F7+F31+F46</f>
        <v>1764000</v>
      </c>
    </row>
    <row r="7" spans="1:6" ht="12.75">
      <c r="A7" s="231"/>
      <c r="B7" s="232" t="s">
        <v>35</v>
      </c>
      <c r="C7" s="519" t="s">
        <v>295</v>
      </c>
      <c r="D7" s="243">
        <f>D8</f>
        <v>564699.9000000001</v>
      </c>
      <c r="E7" s="229">
        <f>E8</f>
        <v>1396000</v>
      </c>
      <c r="F7" s="230">
        <f>F8</f>
        <v>1596000</v>
      </c>
    </row>
    <row r="8" spans="1:6" ht="12.75">
      <c r="A8" s="231"/>
      <c r="B8" s="232" t="s">
        <v>36</v>
      </c>
      <c r="C8" s="519" t="s">
        <v>296</v>
      </c>
      <c r="D8" s="228">
        <f>D9+D29+D28</f>
        <v>564699.9000000001</v>
      </c>
      <c r="E8" s="229">
        <f>E9+E29+E28</f>
        <v>1396000</v>
      </c>
      <c r="F8" s="230">
        <f>F9+F29+F28</f>
        <v>1596000</v>
      </c>
    </row>
    <row r="9" spans="1:6" ht="12.75">
      <c r="A9" s="527"/>
      <c r="B9" s="232" t="str">
        <f>'Receita Prefeitura'!B61</f>
        <v>1210.29.00.00 </v>
      </c>
      <c r="C9" s="520" t="str">
        <f>'Receita Prefeitura'!C61</f>
        <v>CONT PREVIDENCIARIAS DO REGIME PRÓPRIO</v>
      </c>
      <c r="D9" s="243">
        <f>D11+D10+D19+D20+D21+D22+D23</f>
        <v>564699.9000000001</v>
      </c>
      <c r="E9" s="229">
        <f>E11+E10+E19+E20+E21+E22+E23</f>
        <v>1396000</v>
      </c>
      <c r="F9" s="230">
        <f>F11+F10+F19+F20+F21+F22+F23</f>
        <v>1596000</v>
      </c>
    </row>
    <row r="10" spans="1:6" ht="12.75">
      <c r="A10" s="527" t="str">
        <f>'Receita Prefeitura'!A62</f>
        <v>RPPS</v>
      </c>
      <c r="B10" s="232" t="str">
        <f>'Receita Prefeitura'!B62</f>
        <v>1210.29.01.00 </v>
      </c>
      <c r="C10" s="520" t="str">
        <f>'Receita Prefeitura'!C62</f>
        <v>CONTRIBUICAO PATRONAL SERV. ATIVO CIVIL</v>
      </c>
      <c r="D10" s="391">
        <f>'Receita Prefeitura'!G62</f>
        <v>0</v>
      </c>
      <c r="E10" s="379">
        <f>'Receita Prefeitura'!H62</f>
        <v>0</v>
      </c>
      <c r="F10" s="383">
        <f>'Receita Prefeitura'!I62</f>
        <v>0</v>
      </c>
    </row>
    <row r="11" spans="1:6" ht="12.75">
      <c r="A11" s="527"/>
      <c r="B11" s="232" t="str">
        <f>'Receita Prefeitura'!B63</f>
        <v>1210.29.07.00</v>
      </c>
      <c r="C11" s="520" t="str">
        <f>'Receita Prefeitura'!C63</f>
        <v>CONTRIBUIÇÃO DE SERVIDOR ATIVO CIVIL</v>
      </c>
      <c r="D11" s="391">
        <f>SUM(D12:D18)</f>
        <v>564422.6000000001</v>
      </c>
      <c r="E11" s="379">
        <f>SUM(E12:E18)</f>
        <v>1376000</v>
      </c>
      <c r="F11" s="383">
        <f>SUM(F12:F18)</f>
        <v>1574000</v>
      </c>
    </row>
    <row r="12" spans="1:6" ht="12.75">
      <c r="A12" s="527" t="str">
        <f>'Receita Prefeitura'!A64</f>
        <v>RPPS</v>
      </c>
      <c r="B12" s="232" t="str">
        <f>'Receita Prefeitura'!B64</f>
        <v>1210.29.07.01</v>
      </c>
      <c r="C12" s="520" t="str">
        <f>'Receita Prefeitura'!C64</f>
        <v>CONTRIBUIÇÃO DE SERVIDOR ATIVO CIVIL - PREFEITURA MUNICIPAL</v>
      </c>
      <c r="D12" s="391">
        <f>'Receita Prefeitura'!G64</f>
        <v>426942.27</v>
      </c>
      <c r="E12" s="379">
        <f>'Receita Prefeitura'!H64</f>
        <v>725000</v>
      </c>
      <c r="F12" s="383">
        <f>'Receita Prefeitura'!I64</f>
        <v>829000</v>
      </c>
    </row>
    <row r="13" spans="1:6" ht="12.75">
      <c r="A13" s="527" t="str">
        <f>'Receita Prefeitura'!A65</f>
        <v>RPPS</v>
      </c>
      <c r="B13" s="232" t="str">
        <f>'Receita Prefeitura'!B65</f>
        <v>1210.29.07.02</v>
      </c>
      <c r="C13" s="520" t="str">
        <f>'Receita Prefeitura'!C65</f>
        <v>CONTRIBUIÇÃO DE SERVIDOR ATIVO CIVIL - FUNDO MUNICIPAL DE SAÚDE</v>
      </c>
      <c r="D13" s="391">
        <f>'Receita Prefeitura'!G65</f>
        <v>87467.96</v>
      </c>
      <c r="E13" s="379">
        <f>'Receita Prefeitura'!H65</f>
        <v>146000</v>
      </c>
      <c r="F13" s="383">
        <f>'Receita Prefeitura'!I65</f>
        <v>167000</v>
      </c>
    </row>
    <row r="14" spans="1:6" ht="12.75">
      <c r="A14" s="527" t="str">
        <f>'Receita Prefeitura'!A66</f>
        <v>RPPS</v>
      </c>
      <c r="B14" s="232" t="str">
        <f>'Receita Prefeitura'!B66</f>
        <v>1210.29.07.03</v>
      </c>
      <c r="C14" s="520" t="str">
        <f>'Receita Prefeitura'!C66</f>
        <v>CONTRIBUIÇÃO DE SERVIDOR ATIVO CIVIL - CÂMARA MUNICIPAL</v>
      </c>
      <c r="D14" s="391">
        <f>'Receita Prefeitura'!G66</f>
        <v>0</v>
      </c>
      <c r="E14" s="379">
        <f>'Receita Prefeitura'!H66</f>
        <v>0</v>
      </c>
      <c r="F14" s="383">
        <f>'Receita Prefeitura'!I66</f>
        <v>0</v>
      </c>
    </row>
    <row r="15" spans="1:6" ht="12.75">
      <c r="A15" s="527" t="str">
        <f>'Receita Prefeitura'!A67</f>
        <v>RPPS</v>
      </c>
      <c r="B15" s="232" t="str">
        <f>'Receita Prefeitura'!B67</f>
        <v>1210.29.07.04</v>
      </c>
      <c r="C15" s="520" t="str">
        <f>'Receita Prefeitura'!C67</f>
        <v>CONTRIBUIÇÃO DE SERVIDOR ATIVO CIVIL - RPPS</v>
      </c>
      <c r="D15" s="391">
        <f>'Receita Prefeitura'!G67</f>
        <v>1012.78</v>
      </c>
      <c r="E15" s="379">
        <f>'Receita Prefeitura'!H67</f>
        <v>2000</v>
      </c>
      <c r="F15" s="383">
        <f>'Receita Prefeitura'!I67</f>
        <v>2000</v>
      </c>
    </row>
    <row r="16" spans="1:6" ht="12.75">
      <c r="A16" s="527" t="str">
        <f>'Receita Prefeitura'!A68</f>
        <v>RPPS</v>
      </c>
      <c r="B16" s="232" t="str">
        <f>'Receita Prefeitura'!B68</f>
        <v>1210.29.07.05</v>
      </c>
      <c r="C16" s="520" t="str">
        <f>'Receita Prefeitura'!C68</f>
        <v>CONTRIBUIÇÃO DE SERVIDOR ATIVO CIVIL - AUTARQUIA</v>
      </c>
      <c r="D16" s="391">
        <f>'Receita Prefeitura'!G68</f>
        <v>0</v>
      </c>
      <c r="E16" s="379">
        <f>'Receita Prefeitura'!H68</f>
        <v>0</v>
      </c>
      <c r="F16" s="383">
        <f>'Receita Prefeitura'!I68</f>
        <v>0</v>
      </c>
    </row>
    <row r="17" spans="1:6" ht="12.75">
      <c r="A17" s="527" t="str">
        <f>'Receita Prefeitura'!A69</f>
        <v>RPPS</v>
      </c>
      <c r="B17" s="232" t="str">
        <f>'Receita Prefeitura'!B69</f>
        <v>1210.29.07.06</v>
      </c>
      <c r="C17" s="520" t="str">
        <f>'Receita Prefeitura'!C69</f>
        <v>CONTRIBUIÇÃO DE SERVIDOR ATIVO CIVIL - PESSOAL CEDIDO</v>
      </c>
      <c r="D17" s="391">
        <f>'Receita Prefeitura'!G69</f>
        <v>1570.99</v>
      </c>
      <c r="E17" s="379">
        <f>'Receita Prefeitura'!H69</f>
        <v>1000</v>
      </c>
      <c r="F17" s="383">
        <f>'Receita Prefeitura'!I69</f>
        <v>1000</v>
      </c>
    </row>
    <row r="18" spans="1:6" ht="12.75">
      <c r="A18" s="527" t="str">
        <f>'Receita Prefeitura'!A70</f>
        <v>RPPS</v>
      </c>
      <c r="B18" s="232" t="str">
        <f>'Receita Prefeitura'!B70</f>
        <v>1210.29.07.99</v>
      </c>
      <c r="C18" s="520" t="str">
        <f>'Receita Prefeitura'!C70</f>
        <v>CONTRIBUIÇÃO DE SERVIDOR ATIVO CIVIL - OUTROS</v>
      </c>
      <c r="D18" s="391">
        <f>'Receita Prefeitura'!G70</f>
        <v>47428.6</v>
      </c>
      <c r="E18" s="379">
        <f>'Receita Prefeitura'!H70</f>
        <v>502000</v>
      </c>
      <c r="F18" s="383">
        <f>'Receita Prefeitura'!I70</f>
        <v>575000</v>
      </c>
    </row>
    <row r="19" spans="1:6" ht="12.75">
      <c r="A19" s="527" t="str">
        <f>'Receita Prefeitura'!A71</f>
        <v>RPPS</v>
      </c>
      <c r="B19" s="232" t="str">
        <f>'Receita Prefeitura'!B71</f>
        <v>1210.29.08.00 </v>
      </c>
      <c r="C19" s="520" t="str">
        <f>'Receita Prefeitura'!C71</f>
        <v>CONTRIBUIÇÃO DE SERVIDOR ATIVO MILITAR</v>
      </c>
      <c r="D19" s="391">
        <f>'Receita Prefeitura'!G71</f>
        <v>0</v>
      </c>
      <c r="E19" s="379">
        <f>'Receita Prefeitura'!H71</f>
        <v>0</v>
      </c>
      <c r="F19" s="383">
        <f>'Receita Prefeitura'!I71</f>
        <v>0</v>
      </c>
    </row>
    <row r="20" spans="1:6" ht="12.75">
      <c r="A20" s="527" t="str">
        <f>'Receita Prefeitura'!A72</f>
        <v>RPPS</v>
      </c>
      <c r="B20" s="232" t="str">
        <f>'Receita Prefeitura'!B72</f>
        <v>1210.29.09.00</v>
      </c>
      <c r="C20" s="520" t="str">
        <f>'Receita Prefeitura'!C72</f>
        <v>CONTRIBUIÇÕES DE SERVIDOR INATIVO CIVIL</v>
      </c>
      <c r="D20" s="391">
        <f>'Receita Prefeitura'!G72</f>
        <v>0</v>
      </c>
      <c r="E20" s="379">
        <f>'Receita Prefeitura'!H72</f>
        <v>10000</v>
      </c>
      <c r="F20" s="383">
        <f>'Receita Prefeitura'!I72</f>
        <v>11000</v>
      </c>
    </row>
    <row r="21" spans="1:6" ht="12.75">
      <c r="A21" s="527" t="str">
        <f>'Receita Prefeitura'!A73</f>
        <v>RPPS</v>
      </c>
      <c r="B21" s="232" t="str">
        <f>'Receita Prefeitura'!B73</f>
        <v>1210.29.10.00</v>
      </c>
      <c r="C21" s="520" t="str">
        <f>'Receita Prefeitura'!C73</f>
        <v>CONTRIBUIÇÕES DE SERVIDOR INATIVO MILITAR</v>
      </c>
      <c r="D21" s="391">
        <f>'Receita Prefeitura'!G73</f>
        <v>0</v>
      </c>
      <c r="E21" s="379">
        <f>'Receita Prefeitura'!H73</f>
        <v>0</v>
      </c>
      <c r="F21" s="383">
        <f>'Receita Prefeitura'!I73</f>
        <v>0</v>
      </c>
    </row>
    <row r="22" spans="1:6" ht="12.75">
      <c r="A22" s="527" t="str">
        <f>'Receita Prefeitura'!A74</f>
        <v>RPPS</v>
      </c>
      <c r="B22" s="232" t="str">
        <f>'Receita Prefeitura'!B74</f>
        <v>1210.29.11.00</v>
      </c>
      <c r="C22" s="520" t="str">
        <f>'Receita Prefeitura'!C74</f>
        <v>CONTRIBUIÇÕES DE PENSIONISTA CIVIL</v>
      </c>
      <c r="D22" s="391">
        <f>'Receita Prefeitura'!G74</f>
        <v>277.3</v>
      </c>
      <c r="E22" s="379">
        <f>'Receita Prefeitura'!H74</f>
        <v>10000</v>
      </c>
      <c r="F22" s="383">
        <f>'Receita Prefeitura'!I74</f>
        <v>11000</v>
      </c>
    </row>
    <row r="23" spans="1:6" ht="12.75">
      <c r="A23" s="527" t="str">
        <f>'Receita Prefeitura'!A75</f>
        <v>RPPS</v>
      </c>
      <c r="B23" s="232" t="str">
        <f>'Receita Prefeitura'!B75</f>
        <v>1210.29.12.00</v>
      </c>
      <c r="C23" s="520" t="str">
        <f>'Receita Prefeitura'!C75</f>
        <v>CONTRIBUIÇÕES DE PENSIONISTA MILITAR</v>
      </c>
      <c r="D23" s="391">
        <f>'Receita Prefeitura'!G75</f>
        <v>0</v>
      </c>
      <c r="E23" s="379">
        <f>'Receita Prefeitura'!H75</f>
        <v>0</v>
      </c>
      <c r="F23" s="383">
        <f>'Receita Prefeitura'!I75</f>
        <v>0</v>
      </c>
    </row>
    <row r="24" spans="1:6" ht="12.75">
      <c r="A24" s="527" t="str">
        <f>'Receita Prefeitura'!A76</f>
        <v>RPPS</v>
      </c>
      <c r="B24" s="232" t="str">
        <f>'Receita Prefeitura'!B76</f>
        <v>1210.29.17.00</v>
      </c>
      <c r="C24" s="520" t="str">
        <f>'Receita Prefeitura'!C76</f>
        <v>RECOLHIMENTO CONTRIBUIÇÃO SERVIDOR ATIVO, PAGTO SENT JUDICIAIS</v>
      </c>
      <c r="D24" s="391">
        <f>'Receita Prefeitura'!G76</f>
        <v>0</v>
      </c>
      <c r="E24" s="379">
        <f>'Receita Prefeitura'!H76</f>
        <v>0</v>
      </c>
      <c r="F24" s="383">
        <f>'Receita Prefeitura'!I76</f>
        <v>0</v>
      </c>
    </row>
    <row r="25" spans="1:6" ht="12.75">
      <c r="A25" s="527" t="str">
        <f>'Receita Prefeitura'!A77</f>
        <v>RPPS</v>
      </c>
      <c r="B25" s="232" t="str">
        <f>'Receita Prefeitura'!B77</f>
        <v>1210.29.20.00</v>
      </c>
      <c r="C25" s="520" t="str">
        <f>'Receita Prefeitura'!C77</f>
        <v>EXERCÍCIO ANTERIOR - CONTRIBUIÇÃO SERVIDOR</v>
      </c>
      <c r="D25" s="391">
        <f>'Receita Prefeitura'!G77</f>
        <v>0</v>
      </c>
      <c r="E25" s="379">
        <f>'Receita Prefeitura'!H77</f>
        <v>0</v>
      </c>
      <c r="F25" s="383">
        <f>'Receita Prefeitura'!I77</f>
        <v>0</v>
      </c>
    </row>
    <row r="26" spans="1:6" ht="12.75">
      <c r="A26" s="527"/>
      <c r="B26" s="232"/>
      <c r="C26" s="520"/>
      <c r="D26" s="391"/>
      <c r="E26" s="379"/>
      <c r="F26" s="383"/>
    </row>
    <row r="27" spans="1:6" ht="12.75">
      <c r="A27" s="527"/>
      <c r="B27" s="232" t="str">
        <f>'Receita Prefeitura'!B79</f>
        <v>1210.30.00.00</v>
      </c>
      <c r="C27" s="520" t="str">
        <f>'Receita Prefeitura'!C79</f>
        <v>CONTRIBUIÇÕES PREVIDENCIARIAS AO RGPS</v>
      </c>
      <c r="D27" s="391">
        <f>D28</f>
        <v>0</v>
      </c>
      <c r="E27" s="379">
        <f>E28</f>
        <v>0</v>
      </c>
      <c r="F27" s="383">
        <f>F28</f>
        <v>0</v>
      </c>
    </row>
    <row r="28" spans="1:6" ht="12.75">
      <c r="A28" s="527" t="str">
        <f>'Receita Prefeitura'!A81</f>
        <v>RPPS</v>
      </c>
      <c r="B28" s="232" t="str">
        <f>'Receita Prefeitura'!B81</f>
        <v>1210.30.99.00</v>
      </c>
      <c r="C28" s="521" t="str">
        <f>'Receita Prefeitura'!C81</f>
        <v>OUTRAS CONTRIBUIÇÕES PREVIDENCIARIAS</v>
      </c>
      <c r="D28" s="391">
        <f>'Receita Prefeitura'!G81</f>
        <v>0</v>
      </c>
      <c r="E28" s="379">
        <f>'Receita Prefeitura'!H81</f>
        <v>0</v>
      </c>
      <c r="F28" s="383">
        <f>'Receita Prefeitura'!I81</f>
        <v>0</v>
      </c>
    </row>
    <row r="29" spans="1:6" ht="12.75">
      <c r="A29" s="527" t="str">
        <f>'Receita Prefeitura'!A82</f>
        <v>RPPS</v>
      </c>
      <c r="B29" s="232" t="str">
        <f>'Receita Prefeitura'!B82</f>
        <v>1210.99.00.00 </v>
      </c>
      <c r="C29" s="520" t="str">
        <f>'Receita Prefeitura'!C82</f>
        <v>OUTRAS CONTRIBUICOES SOCIAIS</v>
      </c>
      <c r="D29" s="391">
        <f>'Receita Prefeitura'!G82</f>
        <v>0</v>
      </c>
      <c r="E29" s="379">
        <f>'Receita Prefeitura'!H82</f>
        <v>0</v>
      </c>
      <c r="F29" s="383">
        <f>'Receita Prefeitura'!I82</f>
        <v>0</v>
      </c>
    </row>
    <row r="30" spans="1:6" ht="12.75">
      <c r="A30" s="231"/>
      <c r="B30" s="232"/>
      <c r="C30" s="522"/>
      <c r="D30" s="243"/>
      <c r="E30" s="229"/>
      <c r="F30" s="230"/>
    </row>
    <row r="31" spans="1:6" ht="12.75">
      <c r="A31" s="231"/>
      <c r="B31" s="232" t="s">
        <v>52</v>
      </c>
      <c r="C31" s="519" t="s">
        <v>262</v>
      </c>
      <c r="D31" s="243">
        <f>D32+D36+D41</f>
        <v>38998.8</v>
      </c>
      <c r="E31" s="229">
        <f>E32+E36+E41</f>
        <v>118000</v>
      </c>
      <c r="F31" s="230">
        <f>F32+F36+F41</f>
        <v>135000</v>
      </c>
    </row>
    <row r="32" spans="1:6" ht="12.75">
      <c r="A32" s="231"/>
      <c r="B32" s="232" t="s">
        <v>53</v>
      </c>
      <c r="C32" s="519" t="s">
        <v>297</v>
      </c>
      <c r="D32" s="243">
        <f aca="true" t="shared" si="0" ref="D32:F33">D33</f>
        <v>0</v>
      </c>
      <c r="E32" s="229">
        <f t="shared" si="0"/>
        <v>0</v>
      </c>
      <c r="F32" s="230">
        <f t="shared" si="0"/>
        <v>0</v>
      </c>
    </row>
    <row r="33" spans="1:6" ht="12.75">
      <c r="A33" s="231"/>
      <c r="B33" s="232" t="s">
        <v>689</v>
      </c>
      <c r="C33" s="519" t="s">
        <v>690</v>
      </c>
      <c r="D33" s="243">
        <f t="shared" si="0"/>
        <v>0</v>
      </c>
      <c r="E33" s="229">
        <f t="shared" si="0"/>
        <v>0</v>
      </c>
      <c r="F33" s="230">
        <f t="shared" si="0"/>
        <v>0</v>
      </c>
    </row>
    <row r="34" spans="1:6" ht="12.75">
      <c r="A34" s="231" t="s">
        <v>442</v>
      </c>
      <c r="B34" s="232" t="s">
        <v>691</v>
      </c>
      <c r="C34" s="519" t="s">
        <v>692</v>
      </c>
      <c r="D34" s="243">
        <f>'Receita Prefeitura'!G102</f>
        <v>0</v>
      </c>
      <c r="E34" s="229">
        <f>'Receita Prefeitura'!H102</f>
        <v>0</v>
      </c>
      <c r="F34" s="230">
        <f>'Receita Prefeitura'!I102</f>
        <v>0</v>
      </c>
    </row>
    <row r="35" spans="1:6" ht="12.75">
      <c r="A35" s="231"/>
      <c r="B35" s="232"/>
      <c r="C35" s="519"/>
      <c r="D35" s="243"/>
      <c r="E35" s="229"/>
      <c r="F35" s="230"/>
    </row>
    <row r="36" spans="1:6" ht="12.75">
      <c r="A36" s="231"/>
      <c r="B36" s="232" t="s">
        <v>56</v>
      </c>
      <c r="C36" s="519" t="s">
        <v>300</v>
      </c>
      <c r="D36" s="243">
        <f>D37</f>
        <v>0</v>
      </c>
      <c r="E36" s="229">
        <f aca="true" t="shared" si="1" ref="E36:F38">E37</f>
        <v>0</v>
      </c>
      <c r="F36" s="230">
        <f t="shared" si="1"/>
        <v>0</v>
      </c>
    </row>
    <row r="37" spans="1:6" ht="12.75">
      <c r="A37" s="231"/>
      <c r="B37" s="232" t="s">
        <v>57</v>
      </c>
      <c r="C37" s="519" t="s">
        <v>607</v>
      </c>
      <c r="D37" s="243">
        <f>D38</f>
        <v>0</v>
      </c>
      <c r="E37" s="229">
        <f t="shared" si="1"/>
        <v>0</v>
      </c>
      <c r="F37" s="230">
        <f t="shared" si="1"/>
        <v>0</v>
      </c>
    </row>
    <row r="38" spans="1:6" ht="12.75">
      <c r="A38" s="231"/>
      <c r="B38" s="232" t="s">
        <v>491</v>
      </c>
      <c r="C38" s="519" t="s">
        <v>302</v>
      </c>
      <c r="D38" s="243">
        <f>D39</f>
        <v>0</v>
      </c>
      <c r="E38" s="229">
        <f t="shared" si="1"/>
        <v>0</v>
      </c>
      <c r="F38" s="230">
        <f t="shared" si="1"/>
        <v>0</v>
      </c>
    </row>
    <row r="39" spans="1:6" ht="12.75">
      <c r="A39" s="231" t="s">
        <v>442</v>
      </c>
      <c r="B39" s="232" t="s">
        <v>591</v>
      </c>
      <c r="C39" s="519" t="s">
        <v>592</v>
      </c>
      <c r="D39" s="243">
        <f>'Receita Prefeitura'!G119</f>
        <v>0</v>
      </c>
      <c r="E39" s="229">
        <f>'Receita Prefeitura'!H119</f>
        <v>0</v>
      </c>
      <c r="F39" s="230">
        <f>'Receita Prefeitura'!I119</f>
        <v>0</v>
      </c>
    </row>
    <row r="40" spans="1:6" ht="12.75">
      <c r="A40" s="231"/>
      <c r="B40" s="232"/>
      <c r="C40" s="519"/>
      <c r="D40" s="243"/>
      <c r="E40" s="229"/>
      <c r="F40" s="230"/>
    </row>
    <row r="41" spans="1:6" ht="12.75">
      <c r="A41" s="231"/>
      <c r="B41" s="232" t="s">
        <v>631</v>
      </c>
      <c r="C41" s="519" t="s">
        <v>632</v>
      </c>
      <c r="D41" s="243">
        <f>SUM(D42:D44)</f>
        <v>38998.8</v>
      </c>
      <c r="E41" s="229">
        <f>SUM(E42:E44)</f>
        <v>118000</v>
      </c>
      <c r="F41" s="230">
        <f>SUM(F42:F44)</f>
        <v>135000</v>
      </c>
    </row>
    <row r="42" spans="1:9" ht="12.75">
      <c r="A42" s="231" t="s">
        <v>442</v>
      </c>
      <c r="B42" s="232" t="s">
        <v>876</v>
      </c>
      <c r="C42" s="519" t="s">
        <v>879</v>
      </c>
      <c r="D42" s="243">
        <f>'Receita Prefeitura'!G128</f>
        <v>0</v>
      </c>
      <c r="E42" s="229">
        <f>'Receita Prefeitura'!H128</f>
        <v>0</v>
      </c>
      <c r="F42" s="230">
        <f>'Receita Prefeitura'!I128</f>
        <v>0</v>
      </c>
      <c r="G42" s="261"/>
      <c r="H42" s="261"/>
      <c r="I42" s="261"/>
    </row>
    <row r="43" spans="1:9" ht="12.75">
      <c r="A43" s="231" t="s">
        <v>442</v>
      </c>
      <c r="B43" s="232" t="s">
        <v>877</v>
      </c>
      <c r="C43" s="519" t="s">
        <v>880</v>
      </c>
      <c r="D43" s="243">
        <f>'Receita Prefeitura'!G129</f>
        <v>38998.8</v>
      </c>
      <c r="E43" s="229">
        <f>'Receita Prefeitura'!H129</f>
        <v>118000</v>
      </c>
      <c r="F43" s="230">
        <f>'Receita Prefeitura'!I129</f>
        <v>135000</v>
      </c>
      <c r="G43" s="261"/>
      <c r="H43" s="261"/>
      <c r="I43" s="261"/>
    </row>
    <row r="44" spans="1:9" ht="12.75">
      <c r="A44" s="231" t="s">
        <v>442</v>
      </c>
      <c r="B44" s="232" t="s">
        <v>878</v>
      </c>
      <c r="C44" s="519" t="s">
        <v>881</v>
      </c>
      <c r="D44" s="228">
        <f>'Receita Prefeitura'!G130</f>
        <v>0</v>
      </c>
      <c r="E44" s="229">
        <f>'Receita Prefeitura'!H130</f>
        <v>0</v>
      </c>
      <c r="F44" s="230">
        <f>'Receita Prefeitura'!I130</f>
        <v>0</v>
      </c>
      <c r="G44" s="261"/>
      <c r="H44" s="261"/>
      <c r="I44" s="261"/>
    </row>
    <row r="45" spans="1:9" ht="12.75">
      <c r="A45" s="231"/>
      <c r="B45" s="232"/>
      <c r="C45" s="519"/>
      <c r="D45" s="228"/>
      <c r="E45" s="229"/>
      <c r="F45" s="230"/>
      <c r="G45" s="261"/>
      <c r="H45" s="261"/>
      <c r="I45" s="261"/>
    </row>
    <row r="46" spans="1:9" ht="12.75">
      <c r="A46" s="231"/>
      <c r="B46" s="232" t="s">
        <v>130</v>
      </c>
      <c r="C46" s="519" t="s">
        <v>354</v>
      </c>
      <c r="D46" s="228">
        <f>D47+D55+D59+D63+D75</f>
        <v>1245.9</v>
      </c>
      <c r="E46" s="229">
        <f>E47+E55+E59+E63+E75</f>
        <v>30000</v>
      </c>
      <c r="F46" s="230">
        <f>F47+F55+F59+F63+F75</f>
        <v>33000</v>
      </c>
      <c r="G46" s="261"/>
      <c r="H46" s="261"/>
      <c r="I46" s="261"/>
    </row>
    <row r="47" spans="1:16" ht="12.75">
      <c r="A47" s="231"/>
      <c r="B47" s="232" t="s">
        <v>656</v>
      </c>
      <c r="C47" s="519" t="s">
        <v>655</v>
      </c>
      <c r="D47" s="228">
        <f>D48</f>
        <v>1245.9</v>
      </c>
      <c r="E47" s="229">
        <f>E48</f>
        <v>20000</v>
      </c>
      <c r="F47" s="230">
        <f>F48</f>
        <v>22000</v>
      </c>
      <c r="G47" s="261"/>
      <c r="H47" s="261"/>
      <c r="I47" s="261"/>
      <c r="J47" s="240"/>
      <c r="P47" s="206"/>
    </row>
    <row r="48" spans="1:256" s="254" customFormat="1" ht="12.75">
      <c r="A48" s="231"/>
      <c r="B48" s="232" t="s">
        <v>657</v>
      </c>
      <c r="C48" s="519" t="s">
        <v>664</v>
      </c>
      <c r="D48" s="228">
        <f>SUM(D49:D52)</f>
        <v>1245.9</v>
      </c>
      <c r="E48" s="229">
        <f>SUM(E49:E52)</f>
        <v>20000</v>
      </c>
      <c r="F48" s="230">
        <f>SUM(F49:F52)</f>
        <v>22000</v>
      </c>
      <c r="G48" s="261"/>
      <c r="H48" s="261"/>
      <c r="I48" s="261"/>
      <c r="J48" s="240"/>
      <c r="K48" s="204"/>
      <c r="L48" s="204"/>
      <c r="M48" s="204"/>
      <c r="N48" s="204"/>
      <c r="O48" s="204"/>
      <c r="P48" s="206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204"/>
      <c r="GF48" s="204"/>
      <c r="GG48" s="204"/>
      <c r="GH48" s="204"/>
      <c r="GI48" s="204"/>
      <c r="GJ48" s="204"/>
      <c r="GK48" s="204"/>
      <c r="GL48" s="204"/>
      <c r="GM48" s="204"/>
      <c r="GN48" s="204"/>
      <c r="GO48" s="204"/>
      <c r="GP48" s="204"/>
      <c r="GQ48" s="204"/>
      <c r="GR48" s="204"/>
      <c r="GS48" s="204"/>
      <c r="GT48" s="204"/>
      <c r="GU48" s="204"/>
      <c r="GV48" s="204"/>
      <c r="GW48" s="204"/>
      <c r="GX48" s="204"/>
      <c r="GY48" s="204"/>
      <c r="GZ48" s="204"/>
      <c r="HA48" s="204"/>
      <c r="HB48" s="204"/>
      <c r="HC48" s="204"/>
      <c r="HD48" s="204"/>
      <c r="HE48" s="204"/>
      <c r="HF48" s="204"/>
      <c r="HG48" s="204"/>
      <c r="HH48" s="204"/>
      <c r="HI48" s="204"/>
      <c r="HJ48" s="204"/>
      <c r="HK48" s="204"/>
      <c r="HL48" s="204"/>
      <c r="HM48" s="204"/>
      <c r="HN48" s="204"/>
      <c r="HO48" s="204"/>
      <c r="HP48" s="204"/>
      <c r="HQ48" s="204"/>
      <c r="HR48" s="204"/>
      <c r="HS48" s="204"/>
      <c r="HT48" s="204"/>
      <c r="HU48" s="204"/>
      <c r="HV48" s="204"/>
      <c r="HW48" s="204"/>
      <c r="HX48" s="204"/>
      <c r="HY48" s="204"/>
      <c r="HZ48" s="204"/>
      <c r="IA48" s="204"/>
      <c r="IB48" s="204"/>
      <c r="IC48" s="204"/>
      <c r="ID48" s="204"/>
      <c r="IE48" s="204"/>
      <c r="IF48" s="204"/>
      <c r="IG48" s="204"/>
      <c r="IH48" s="204"/>
      <c r="II48" s="204"/>
      <c r="IJ48" s="204"/>
      <c r="IK48" s="204"/>
      <c r="IL48" s="204"/>
      <c r="IM48" s="204"/>
      <c r="IN48" s="204"/>
      <c r="IO48" s="204"/>
      <c r="IP48" s="204"/>
      <c r="IQ48" s="204"/>
      <c r="IR48" s="204"/>
      <c r="IS48" s="204"/>
      <c r="IT48" s="204"/>
      <c r="IU48" s="204"/>
      <c r="IV48" s="204"/>
    </row>
    <row r="49" spans="1:16" ht="12.75">
      <c r="A49" s="231" t="s">
        <v>442</v>
      </c>
      <c r="B49" s="232" t="s">
        <v>658</v>
      </c>
      <c r="C49" s="519" t="s">
        <v>661</v>
      </c>
      <c r="D49" s="228">
        <f>'Receita Prefeitura'!G343</f>
        <v>1245.9</v>
      </c>
      <c r="E49" s="229">
        <f>'Receita Prefeitura'!H343</f>
        <v>10000</v>
      </c>
      <c r="F49" s="230">
        <f>'Receita Prefeitura'!I343</f>
        <v>11000</v>
      </c>
      <c r="G49" s="261"/>
      <c r="H49" s="261"/>
      <c r="I49" s="261"/>
      <c r="J49" s="240"/>
      <c r="P49" s="206"/>
    </row>
    <row r="50" spans="1:16" ht="12.75">
      <c r="A50" s="231" t="s">
        <v>442</v>
      </c>
      <c r="B50" s="232" t="s">
        <v>659</v>
      </c>
      <c r="C50" s="519" t="s">
        <v>662</v>
      </c>
      <c r="D50" s="228">
        <f>'Receita Prefeitura'!G344</f>
        <v>0</v>
      </c>
      <c r="E50" s="229">
        <f>'Receita Prefeitura'!H344</f>
        <v>10000</v>
      </c>
      <c r="F50" s="230">
        <f>'Receita Prefeitura'!I344</f>
        <v>11000</v>
      </c>
      <c r="G50" s="261"/>
      <c r="H50" s="261"/>
      <c r="I50" s="261"/>
      <c r="J50" s="240"/>
      <c r="P50" s="206"/>
    </row>
    <row r="51" spans="1:16" ht="12.75">
      <c r="A51" s="231" t="s">
        <v>442</v>
      </c>
      <c r="B51" s="232" t="s">
        <v>660</v>
      </c>
      <c r="C51" s="519" t="s">
        <v>663</v>
      </c>
      <c r="D51" s="228">
        <f>'Receita Prefeitura'!G345</f>
        <v>0</v>
      </c>
      <c r="E51" s="229">
        <f>'Receita Prefeitura'!H345</f>
        <v>0</v>
      </c>
      <c r="F51" s="230">
        <f>'Receita Prefeitura'!I345</f>
        <v>0</v>
      </c>
      <c r="G51" s="261"/>
      <c r="H51" s="261"/>
      <c r="I51" s="261"/>
      <c r="J51" s="240"/>
      <c r="P51" s="206"/>
    </row>
    <row r="52" spans="1:256" s="254" customFormat="1" ht="12.75">
      <c r="A52" s="231"/>
      <c r="B52" s="376" t="s">
        <v>882</v>
      </c>
      <c r="C52" s="523" t="s">
        <v>884</v>
      </c>
      <c r="D52" s="228">
        <f>D53</f>
        <v>0</v>
      </c>
      <c r="E52" s="229">
        <f>E53</f>
        <v>0</v>
      </c>
      <c r="F52" s="230">
        <f>F53</f>
        <v>0</v>
      </c>
      <c r="G52" s="261"/>
      <c r="H52" s="261"/>
      <c r="I52" s="261"/>
      <c r="J52" s="240"/>
      <c r="K52" s="204"/>
      <c r="L52" s="204"/>
      <c r="M52" s="204"/>
      <c r="N52" s="204"/>
      <c r="O52" s="204"/>
      <c r="P52" s="206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  <c r="IV52" s="204"/>
    </row>
    <row r="53" spans="1:16" ht="12.75">
      <c r="A53" s="231" t="s">
        <v>442</v>
      </c>
      <c r="B53" s="376" t="s">
        <v>883</v>
      </c>
      <c r="C53" s="519" t="s">
        <v>885</v>
      </c>
      <c r="D53" s="228">
        <f>'Receita Prefeitura'!G347</f>
        <v>0</v>
      </c>
      <c r="E53" s="229">
        <f>'Receita Prefeitura'!H347</f>
        <v>0</v>
      </c>
      <c r="F53" s="230">
        <f>'Receita Prefeitura'!I347</f>
        <v>0</v>
      </c>
      <c r="G53" s="261"/>
      <c r="H53" s="261"/>
      <c r="I53" s="261"/>
      <c r="J53" s="240"/>
      <c r="P53" s="206"/>
    </row>
    <row r="54" spans="1:16" ht="12.75">
      <c r="A54" s="231"/>
      <c r="B54" s="232"/>
      <c r="C54" s="519"/>
      <c r="D54" s="228"/>
      <c r="E54" s="229"/>
      <c r="F54" s="230"/>
      <c r="J54" s="240"/>
      <c r="P54" s="206"/>
    </row>
    <row r="55" spans="1:16" ht="12.75">
      <c r="A55" s="231"/>
      <c r="B55" s="232" t="s">
        <v>891</v>
      </c>
      <c r="C55" s="519" t="s">
        <v>886</v>
      </c>
      <c r="D55" s="228">
        <f aca="true" t="shared" si="2" ref="D55:F56">D56</f>
        <v>0</v>
      </c>
      <c r="E55" s="229">
        <f t="shared" si="2"/>
        <v>0</v>
      </c>
      <c r="F55" s="230">
        <f t="shared" si="2"/>
        <v>0</v>
      </c>
      <c r="J55" s="240"/>
      <c r="P55" s="206"/>
    </row>
    <row r="56" spans="1:16" ht="12.75">
      <c r="A56" s="231"/>
      <c r="B56" s="232" t="s">
        <v>892</v>
      </c>
      <c r="C56" s="519" t="s">
        <v>887</v>
      </c>
      <c r="D56" s="228">
        <f t="shared" si="2"/>
        <v>0</v>
      </c>
      <c r="E56" s="229">
        <f t="shared" si="2"/>
        <v>0</v>
      </c>
      <c r="F56" s="230">
        <f t="shared" si="2"/>
        <v>0</v>
      </c>
      <c r="J56" s="240"/>
      <c r="P56" s="206"/>
    </row>
    <row r="57" spans="1:16" ht="12.75">
      <c r="A57" s="231" t="s">
        <v>442</v>
      </c>
      <c r="B57" s="232" t="s">
        <v>893</v>
      </c>
      <c r="C57" s="519" t="s">
        <v>887</v>
      </c>
      <c r="D57" s="228">
        <f>'Receita Prefeitura'!G358</f>
        <v>0</v>
      </c>
      <c r="E57" s="229">
        <f>'Receita Prefeitura'!H358</f>
        <v>0</v>
      </c>
      <c r="F57" s="230">
        <f>'Receita Prefeitura'!I358</f>
        <v>0</v>
      </c>
      <c r="J57" s="240"/>
      <c r="P57" s="206"/>
    </row>
    <row r="58" spans="1:16" ht="15">
      <c r="A58" s="231"/>
      <c r="B58" s="395"/>
      <c r="C58" s="524"/>
      <c r="D58" s="228"/>
      <c r="E58" s="229"/>
      <c r="F58" s="230"/>
      <c r="J58" s="240"/>
      <c r="P58" s="206"/>
    </row>
    <row r="59" spans="1:16" ht="12.75">
      <c r="A59" s="231"/>
      <c r="B59" s="232" t="s">
        <v>894</v>
      </c>
      <c r="C59" s="519" t="s">
        <v>888</v>
      </c>
      <c r="D59" s="228">
        <f>D60+D61</f>
        <v>0</v>
      </c>
      <c r="E59" s="229">
        <f>E60+E61</f>
        <v>0</v>
      </c>
      <c r="F59" s="230">
        <f>F60+F61</f>
        <v>0</v>
      </c>
      <c r="J59" s="240"/>
      <c r="P59" s="206"/>
    </row>
    <row r="60" spans="1:16" ht="12.75">
      <c r="A60" s="231" t="s">
        <v>442</v>
      </c>
      <c r="B60" s="232" t="s">
        <v>895</v>
      </c>
      <c r="C60" s="519" t="s">
        <v>889</v>
      </c>
      <c r="D60" s="228">
        <f>'Receita Prefeitura'!G361</f>
        <v>0</v>
      </c>
      <c r="E60" s="229">
        <f>'Receita Prefeitura'!H361</f>
        <v>0</v>
      </c>
      <c r="F60" s="230">
        <f>'Receita Prefeitura'!I361</f>
        <v>0</v>
      </c>
      <c r="J60" s="240"/>
      <c r="P60" s="206"/>
    </row>
    <row r="61" spans="1:16" ht="12.75">
      <c r="A61" s="231" t="s">
        <v>442</v>
      </c>
      <c r="B61" s="232" t="s">
        <v>896</v>
      </c>
      <c r="C61" s="519" t="s">
        <v>890</v>
      </c>
      <c r="D61" s="228">
        <f>'Receita Prefeitura'!G362</f>
        <v>0</v>
      </c>
      <c r="E61" s="229">
        <f>'Receita Prefeitura'!H362</f>
        <v>0</v>
      </c>
      <c r="F61" s="230">
        <f>'Receita Prefeitura'!I362</f>
        <v>0</v>
      </c>
      <c r="J61" s="240"/>
      <c r="P61" s="206"/>
    </row>
    <row r="62" spans="1:6" ht="12.75">
      <c r="A62" s="231"/>
      <c r="B62" s="232"/>
      <c r="C62" s="519"/>
      <c r="D62" s="228"/>
      <c r="E62" s="229"/>
      <c r="F62" s="230"/>
    </row>
    <row r="63" spans="1:16" ht="12.75">
      <c r="A63" s="231"/>
      <c r="B63" s="232" t="s">
        <v>135</v>
      </c>
      <c r="C63" s="519" t="s">
        <v>368</v>
      </c>
      <c r="D63" s="228">
        <f>D64+D68</f>
        <v>0</v>
      </c>
      <c r="E63" s="229">
        <f>E64+E68</f>
        <v>10000</v>
      </c>
      <c r="F63" s="230">
        <f>F64+F68</f>
        <v>11000</v>
      </c>
      <c r="P63" s="206"/>
    </row>
    <row r="64" spans="1:16" ht="12.75">
      <c r="A64" s="231"/>
      <c r="B64" s="232" t="s">
        <v>136</v>
      </c>
      <c r="C64" s="519" t="s">
        <v>369</v>
      </c>
      <c r="D64" s="228">
        <f aca="true" t="shared" si="3" ref="D64:F65">D65</f>
        <v>0</v>
      </c>
      <c r="E64" s="229">
        <f t="shared" si="3"/>
        <v>0</v>
      </c>
      <c r="F64" s="230">
        <f t="shared" si="3"/>
        <v>0</v>
      </c>
      <c r="P64" s="206"/>
    </row>
    <row r="65" spans="1:16" ht="12.75">
      <c r="A65" s="231"/>
      <c r="B65" s="232" t="s">
        <v>172</v>
      </c>
      <c r="C65" s="519" t="s">
        <v>370</v>
      </c>
      <c r="D65" s="368">
        <f t="shared" si="3"/>
        <v>0</v>
      </c>
      <c r="E65" s="369">
        <f t="shared" si="3"/>
        <v>0</v>
      </c>
      <c r="F65" s="47">
        <f t="shared" si="3"/>
        <v>0</v>
      </c>
      <c r="J65" s="240"/>
      <c r="P65" s="206"/>
    </row>
    <row r="66" spans="1:16" ht="12.75">
      <c r="A66" s="231" t="s">
        <v>442</v>
      </c>
      <c r="B66" s="232" t="s">
        <v>944</v>
      </c>
      <c r="C66" s="519" t="s">
        <v>950</v>
      </c>
      <c r="D66" s="368">
        <f>'Receita Prefeitura'!G380</f>
        <v>0</v>
      </c>
      <c r="E66" s="369">
        <f>'Receita Prefeitura'!H380</f>
        <v>0</v>
      </c>
      <c r="F66" s="47">
        <f>'Receita Prefeitura'!I380</f>
        <v>0</v>
      </c>
      <c r="J66" s="240"/>
      <c r="P66" s="206"/>
    </row>
    <row r="67" spans="1:16" ht="12.75">
      <c r="A67" s="231"/>
      <c r="B67" s="232"/>
      <c r="C67" s="519"/>
      <c r="D67" s="368"/>
      <c r="E67" s="229"/>
      <c r="F67" s="47"/>
      <c r="J67" s="240"/>
      <c r="P67" s="206"/>
    </row>
    <row r="68" spans="1:7" ht="12.75">
      <c r="A68" s="231"/>
      <c r="B68" s="232" t="s">
        <v>137</v>
      </c>
      <c r="C68" s="519" t="s">
        <v>371</v>
      </c>
      <c r="D68" s="243">
        <f>D69+D72</f>
        <v>0</v>
      </c>
      <c r="E68" s="229">
        <f>E69+E72</f>
        <v>10000</v>
      </c>
      <c r="F68" s="230">
        <f>F69+F72</f>
        <v>11000</v>
      </c>
      <c r="G68" s="240"/>
    </row>
    <row r="69" spans="1:7" ht="12.75">
      <c r="A69" s="257"/>
      <c r="B69" s="232" t="s">
        <v>734</v>
      </c>
      <c r="C69" s="519" t="s">
        <v>735</v>
      </c>
      <c r="D69" s="243">
        <f>D70</f>
        <v>0</v>
      </c>
      <c r="E69" s="229">
        <f>E70</f>
        <v>10000</v>
      </c>
      <c r="F69" s="230">
        <f>F70</f>
        <v>11000</v>
      </c>
      <c r="G69" s="240"/>
    </row>
    <row r="70" spans="1:7" ht="12.75">
      <c r="A70" s="231" t="s">
        <v>442</v>
      </c>
      <c r="B70" s="232" t="s">
        <v>736</v>
      </c>
      <c r="C70" s="519" t="s">
        <v>737</v>
      </c>
      <c r="D70" s="243">
        <f>'Receita Prefeitura'!G384</f>
        <v>0</v>
      </c>
      <c r="E70" s="229">
        <f>'Receita Prefeitura'!H384</f>
        <v>10000</v>
      </c>
      <c r="F70" s="230">
        <f>'Receita Prefeitura'!I384</f>
        <v>11000</v>
      </c>
      <c r="G70" s="240"/>
    </row>
    <row r="71" spans="1:7" ht="12.75">
      <c r="A71" s="231"/>
      <c r="B71" s="232"/>
      <c r="C71" s="520"/>
      <c r="D71" s="243"/>
      <c r="E71" s="229"/>
      <c r="F71" s="230"/>
      <c r="G71" s="240"/>
    </row>
    <row r="72" spans="1:7" ht="12.75">
      <c r="A72" s="382"/>
      <c r="B72" s="232" t="s">
        <v>173</v>
      </c>
      <c r="C72" s="519" t="s">
        <v>568</v>
      </c>
      <c r="D72" s="392">
        <f>D73</f>
        <v>0</v>
      </c>
      <c r="E72" s="384">
        <f>E73</f>
        <v>0</v>
      </c>
      <c r="F72" s="381">
        <f>F73</f>
        <v>0</v>
      </c>
      <c r="G72" s="240"/>
    </row>
    <row r="73" spans="1:7" ht="12.75">
      <c r="A73" s="231" t="s">
        <v>442</v>
      </c>
      <c r="B73" s="232" t="s">
        <v>574</v>
      </c>
      <c r="C73" s="519" t="s">
        <v>576</v>
      </c>
      <c r="D73" s="243">
        <f>'Receita Prefeitura'!G392</f>
        <v>0</v>
      </c>
      <c r="E73" s="229">
        <f>'Receita Prefeitura'!H392</f>
        <v>0</v>
      </c>
      <c r="F73" s="230">
        <f>'Receita Prefeitura'!I392</f>
        <v>0</v>
      </c>
      <c r="G73" s="240"/>
    </row>
    <row r="74" spans="1:7" s="261" customFormat="1" ht="12.75">
      <c r="A74" s="231"/>
      <c r="B74" s="232"/>
      <c r="C74" s="520"/>
      <c r="D74" s="243"/>
      <c r="E74" s="229"/>
      <c r="F74" s="230"/>
      <c r="G74" s="286"/>
    </row>
    <row r="75" spans="1:7" ht="12.75">
      <c r="A75" s="231" t="s">
        <v>442</v>
      </c>
      <c r="B75" s="232" t="s">
        <v>828</v>
      </c>
      <c r="C75" s="519" t="s">
        <v>829</v>
      </c>
      <c r="D75" s="243">
        <f>'Receita Prefeitura'!G407</f>
        <v>0</v>
      </c>
      <c r="E75" s="229">
        <f>'Receita Prefeitura'!H407</f>
        <v>0</v>
      </c>
      <c r="F75" s="230">
        <f>'Receita Prefeitura'!I407</f>
        <v>0</v>
      </c>
      <c r="G75" s="286"/>
    </row>
    <row r="76" spans="1:7" ht="13.5" thickBot="1">
      <c r="A76" s="363"/>
      <c r="B76" s="364"/>
      <c r="C76" s="525"/>
      <c r="D76" s="393"/>
      <c r="E76" s="394"/>
      <c r="F76" s="386"/>
      <c r="G76" s="240"/>
    </row>
    <row r="77" spans="1:7" ht="13.5" thickBot="1">
      <c r="A77" s="625" t="s">
        <v>633</v>
      </c>
      <c r="B77" s="626"/>
      <c r="C77" s="627"/>
      <c r="D77" s="387">
        <f>D6</f>
        <v>604944.6000000002</v>
      </c>
      <c r="E77" s="389">
        <f>E6</f>
        <v>1544000</v>
      </c>
      <c r="F77" s="388">
        <f>F6</f>
        <v>1764000</v>
      </c>
      <c r="G77" s="240"/>
    </row>
    <row r="78" spans="1:7" ht="12.75">
      <c r="A78" s="277"/>
      <c r="B78" s="278"/>
      <c r="C78" s="279"/>
      <c r="D78" s="390"/>
      <c r="E78" s="284"/>
      <c r="F78" s="285"/>
      <c r="G78" s="240"/>
    </row>
    <row r="79" spans="1:16" ht="12.75">
      <c r="A79" s="231"/>
      <c r="B79" s="232" t="s">
        <v>634</v>
      </c>
      <c r="C79" s="516" t="s">
        <v>638</v>
      </c>
      <c r="D79" s="243">
        <f>D80+D104</f>
        <v>565718.1499999999</v>
      </c>
      <c r="E79" s="229">
        <f>E80+E104</f>
        <v>1188000</v>
      </c>
      <c r="F79" s="230">
        <f>F80+F104</f>
        <v>1371000</v>
      </c>
      <c r="J79" s="240"/>
      <c r="P79" s="206"/>
    </row>
    <row r="80" spans="1:16" ht="12.75">
      <c r="A80" s="231"/>
      <c r="B80" s="232" t="s">
        <v>635</v>
      </c>
      <c r="C80" s="516" t="s">
        <v>639</v>
      </c>
      <c r="D80" s="243">
        <f aca="true" t="shared" si="4" ref="D80:F81">D81</f>
        <v>565718.1499999999</v>
      </c>
      <c r="E80" s="229">
        <f t="shared" si="4"/>
        <v>1168000</v>
      </c>
      <c r="F80" s="230">
        <f t="shared" si="4"/>
        <v>1338000</v>
      </c>
      <c r="J80" s="240"/>
      <c r="P80" s="206"/>
    </row>
    <row r="81" spans="1:16" ht="12.75">
      <c r="A81" s="231"/>
      <c r="B81" s="232" t="s">
        <v>636</v>
      </c>
      <c r="C81" s="516" t="s">
        <v>640</v>
      </c>
      <c r="D81" s="243">
        <f t="shared" si="4"/>
        <v>565718.1499999999</v>
      </c>
      <c r="E81" s="229">
        <f t="shared" si="4"/>
        <v>1168000</v>
      </c>
      <c r="F81" s="230">
        <f t="shared" si="4"/>
        <v>1338000</v>
      </c>
      <c r="J81" s="240"/>
      <c r="P81" s="206"/>
    </row>
    <row r="82" spans="1:16" ht="12.75" customHeight="1">
      <c r="A82" s="231"/>
      <c r="B82" s="232" t="s">
        <v>637</v>
      </c>
      <c r="C82" s="516" t="s">
        <v>641</v>
      </c>
      <c r="D82" s="243">
        <f>D83+D92+D93+D94+D95+D96+D97+D99</f>
        <v>565718.1499999999</v>
      </c>
      <c r="E82" s="229">
        <f>E83+E92+E93+E94+E95+E96+E97+E99</f>
        <v>1168000</v>
      </c>
      <c r="F82" s="230">
        <f>F83+F92+F93+F94+F95+F96+F97+F99</f>
        <v>1338000</v>
      </c>
      <c r="J82" s="240"/>
      <c r="P82" s="206"/>
    </row>
    <row r="83" spans="1:16" ht="12.75" customHeight="1">
      <c r="A83" s="231"/>
      <c r="B83" s="232" t="s">
        <v>907</v>
      </c>
      <c r="C83" s="516" t="s">
        <v>914</v>
      </c>
      <c r="D83" s="243">
        <f>SUM(D84:D90)</f>
        <v>371464.3499999999</v>
      </c>
      <c r="E83" s="229">
        <f>SUM(E84:E90)</f>
        <v>882000</v>
      </c>
      <c r="F83" s="230">
        <f>SUM(F84:F90)</f>
        <v>1012000</v>
      </c>
      <c r="J83" s="240"/>
      <c r="P83" s="206"/>
    </row>
    <row r="84" spans="1:16" ht="12.75" customHeight="1">
      <c r="A84" s="231" t="s">
        <v>442</v>
      </c>
      <c r="B84" s="232" t="s">
        <v>897</v>
      </c>
      <c r="C84" s="516" t="s">
        <v>929</v>
      </c>
      <c r="D84" s="243">
        <f>'Receita Prefeitura'!G474</f>
        <v>352435.41</v>
      </c>
      <c r="E84" s="229">
        <f>'Receita Prefeitura'!H474</f>
        <v>725000</v>
      </c>
      <c r="F84" s="230">
        <f>'Receita Prefeitura'!I474</f>
        <v>833000</v>
      </c>
      <c r="J84" s="240"/>
      <c r="P84" s="206"/>
    </row>
    <row r="85" spans="1:16" ht="12.75" customHeight="1">
      <c r="A85" s="231" t="s">
        <v>442</v>
      </c>
      <c r="B85" s="232" t="s">
        <v>898</v>
      </c>
      <c r="C85" s="516" t="s">
        <v>930</v>
      </c>
      <c r="D85" s="243">
        <f>'Receita Prefeitura'!G475</f>
        <v>0</v>
      </c>
      <c r="E85" s="229">
        <f>'Receita Prefeitura'!H475</f>
        <v>146000</v>
      </c>
      <c r="F85" s="230">
        <f>'Receita Prefeitura'!I475</f>
        <v>167000</v>
      </c>
      <c r="J85" s="240"/>
      <c r="P85" s="206"/>
    </row>
    <row r="86" spans="1:16" ht="12.75" customHeight="1">
      <c r="A86" s="231" t="s">
        <v>442</v>
      </c>
      <c r="B86" s="232" t="s">
        <v>899</v>
      </c>
      <c r="C86" s="516" t="s">
        <v>931</v>
      </c>
      <c r="D86" s="243">
        <f>'Receita Prefeitura'!G476</f>
        <v>0</v>
      </c>
      <c r="E86" s="229">
        <f>'Receita Prefeitura'!H476</f>
        <v>0</v>
      </c>
      <c r="F86" s="230">
        <f>'Receita Prefeitura'!I476</f>
        <v>0</v>
      </c>
      <c r="J86" s="240"/>
      <c r="P86" s="206"/>
    </row>
    <row r="87" spans="1:16" ht="12.75" customHeight="1">
      <c r="A87" s="231" t="s">
        <v>442</v>
      </c>
      <c r="B87" s="232" t="s">
        <v>900</v>
      </c>
      <c r="C87" s="516" t="s">
        <v>915</v>
      </c>
      <c r="D87" s="243">
        <f>'Receita Prefeitura'!G477</f>
        <v>983.8</v>
      </c>
      <c r="E87" s="229">
        <f>'Receita Prefeitura'!H477</f>
        <v>2000</v>
      </c>
      <c r="F87" s="230">
        <f>'Receita Prefeitura'!I477</f>
        <v>2000</v>
      </c>
      <c r="J87" s="240"/>
      <c r="P87" s="206"/>
    </row>
    <row r="88" spans="1:16" ht="12.75" customHeight="1">
      <c r="A88" s="231" t="s">
        <v>442</v>
      </c>
      <c r="B88" s="232" t="s">
        <v>901</v>
      </c>
      <c r="C88" s="516" t="s">
        <v>916</v>
      </c>
      <c r="D88" s="243">
        <f>'Receita Prefeitura'!G478</f>
        <v>0</v>
      </c>
      <c r="E88" s="229">
        <f>'Receita Prefeitura'!H478</f>
        <v>0</v>
      </c>
      <c r="F88" s="230">
        <f>'Receita Prefeitura'!I478</f>
        <v>0</v>
      </c>
      <c r="J88" s="240"/>
      <c r="P88" s="206"/>
    </row>
    <row r="89" spans="1:16" ht="12.75" customHeight="1">
      <c r="A89" s="231" t="s">
        <v>442</v>
      </c>
      <c r="B89" s="232" t="s">
        <v>902</v>
      </c>
      <c r="C89" s="516" t="s">
        <v>917</v>
      </c>
      <c r="D89" s="243">
        <f>'Receita Prefeitura'!G479</f>
        <v>334.35</v>
      </c>
      <c r="E89" s="229">
        <f>'Receita Prefeitura'!H479</f>
        <v>1000</v>
      </c>
      <c r="F89" s="230">
        <f>'Receita Prefeitura'!I479</f>
        <v>1000</v>
      </c>
      <c r="J89" s="240"/>
      <c r="P89" s="206"/>
    </row>
    <row r="90" spans="1:16" ht="12.75" customHeight="1">
      <c r="A90" s="231" t="s">
        <v>442</v>
      </c>
      <c r="B90" s="232" t="s">
        <v>903</v>
      </c>
      <c r="C90" s="516" t="s">
        <v>918</v>
      </c>
      <c r="D90" s="243">
        <f>'Receita Prefeitura'!G480</f>
        <v>17710.79</v>
      </c>
      <c r="E90" s="229">
        <f>'Receita Prefeitura'!H480</f>
        <v>8000</v>
      </c>
      <c r="F90" s="230">
        <f>'Receita Prefeitura'!I480</f>
        <v>9000</v>
      </c>
      <c r="J90" s="240"/>
      <c r="P90" s="206"/>
    </row>
    <row r="91" spans="1:16" ht="12.75" customHeight="1">
      <c r="A91" s="231"/>
      <c r="B91" s="232"/>
      <c r="C91" s="516"/>
      <c r="D91" s="243"/>
      <c r="E91" s="229"/>
      <c r="F91" s="230"/>
      <c r="J91" s="240"/>
      <c r="P91" s="206"/>
    </row>
    <row r="92" spans="1:16" ht="12.75" customHeight="1">
      <c r="A92" s="231" t="s">
        <v>442</v>
      </c>
      <c r="B92" s="232" t="s">
        <v>908</v>
      </c>
      <c r="C92" s="516" t="s">
        <v>919</v>
      </c>
      <c r="D92" s="243">
        <f>'Receita Prefeitura'!G482</f>
        <v>0</v>
      </c>
      <c r="E92" s="229">
        <f>'Receita Prefeitura'!H482</f>
        <v>0</v>
      </c>
      <c r="F92" s="230">
        <f>'Receita Prefeitura'!I482</f>
        <v>0</v>
      </c>
      <c r="J92" s="240"/>
      <c r="P92" s="206"/>
    </row>
    <row r="93" spans="1:16" ht="12.75" customHeight="1">
      <c r="A93" s="231" t="s">
        <v>442</v>
      </c>
      <c r="B93" s="232" t="s">
        <v>909</v>
      </c>
      <c r="C93" s="516" t="s">
        <v>920</v>
      </c>
      <c r="D93" s="243">
        <f>'Receita Prefeitura'!G483</f>
        <v>0</v>
      </c>
      <c r="E93" s="229">
        <f>'Receita Prefeitura'!H483</f>
        <v>10000</v>
      </c>
      <c r="F93" s="230">
        <f>'Receita Prefeitura'!I483</f>
        <v>11000</v>
      </c>
      <c r="J93" s="240"/>
      <c r="P93" s="206"/>
    </row>
    <row r="94" spans="1:16" ht="12.75" customHeight="1">
      <c r="A94" s="231" t="s">
        <v>442</v>
      </c>
      <c r="B94" s="232" t="s">
        <v>910</v>
      </c>
      <c r="C94" s="516" t="s">
        <v>921</v>
      </c>
      <c r="D94" s="243">
        <f>'Receita Prefeitura'!G484</f>
        <v>0</v>
      </c>
      <c r="E94" s="229">
        <f>'Receita Prefeitura'!H484</f>
        <v>10000</v>
      </c>
      <c r="F94" s="230">
        <f>'Receita Prefeitura'!I484</f>
        <v>11000</v>
      </c>
      <c r="J94" s="240"/>
      <c r="P94" s="206"/>
    </row>
    <row r="95" spans="1:16" ht="12.75" customHeight="1">
      <c r="A95" s="231" t="s">
        <v>442</v>
      </c>
      <c r="B95" s="232" t="s">
        <v>742</v>
      </c>
      <c r="C95" s="516" t="s">
        <v>922</v>
      </c>
      <c r="D95" s="243">
        <f>'Receita Prefeitura'!G485</f>
        <v>0</v>
      </c>
      <c r="E95" s="229">
        <f>'Receita Prefeitura'!H485</f>
        <v>0</v>
      </c>
      <c r="F95" s="230">
        <f>'Receita Prefeitura'!I485</f>
        <v>0</v>
      </c>
      <c r="J95" s="240"/>
      <c r="P95" s="206"/>
    </row>
    <row r="96" spans="1:16" ht="12.75" customHeight="1">
      <c r="A96" s="231" t="s">
        <v>442</v>
      </c>
      <c r="B96" s="232" t="s">
        <v>911</v>
      </c>
      <c r="C96" s="516" t="s">
        <v>923</v>
      </c>
      <c r="D96" s="243">
        <f>'Receita Prefeitura'!G486</f>
        <v>0</v>
      </c>
      <c r="E96" s="229">
        <f>'Receita Prefeitura'!H486</f>
        <v>0</v>
      </c>
      <c r="F96" s="230">
        <f>'Receita Prefeitura'!I486</f>
        <v>0</v>
      </c>
      <c r="J96" s="240"/>
      <c r="P96" s="206"/>
    </row>
    <row r="97" spans="1:16" ht="12.75" customHeight="1">
      <c r="A97" s="231" t="s">
        <v>442</v>
      </c>
      <c r="B97" s="232" t="s">
        <v>912</v>
      </c>
      <c r="C97" s="516" t="s">
        <v>924</v>
      </c>
      <c r="D97" s="243">
        <f>'Receita Prefeitura'!G487</f>
        <v>0</v>
      </c>
      <c r="E97" s="229">
        <f>'Receita Prefeitura'!H487</f>
        <v>0</v>
      </c>
      <c r="F97" s="230">
        <f>'Receita Prefeitura'!I487</f>
        <v>0</v>
      </c>
      <c r="J97" s="240"/>
      <c r="P97" s="206"/>
    </row>
    <row r="98" spans="1:16" ht="12.75" customHeight="1">
      <c r="A98" s="231"/>
      <c r="B98" s="232"/>
      <c r="C98" s="516"/>
      <c r="D98" s="243"/>
      <c r="E98" s="229"/>
      <c r="F98" s="230"/>
      <c r="J98" s="240"/>
      <c r="P98" s="206"/>
    </row>
    <row r="99" spans="1:16" ht="12.75" customHeight="1">
      <c r="A99" s="231"/>
      <c r="B99" s="232" t="s">
        <v>913</v>
      </c>
      <c r="C99" s="516" t="s">
        <v>925</v>
      </c>
      <c r="D99" s="243">
        <f>SUM(D100:D102)</f>
        <v>194253.8</v>
      </c>
      <c r="E99" s="229">
        <f>SUM(E100:E102)</f>
        <v>266000</v>
      </c>
      <c r="F99" s="230">
        <f>SUM(F100:F102)</f>
        <v>304000</v>
      </c>
      <c r="J99" s="240"/>
      <c r="P99" s="206"/>
    </row>
    <row r="100" spans="1:16" ht="12.75" customHeight="1">
      <c r="A100" s="231" t="s">
        <v>442</v>
      </c>
      <c r="B100" s="232" t="s">
        <v>904</v>
      </c>
      <c r="C100" s="516" t="s">
        <v>926</v>
      </c>
      <c r="D100" s="243">
        <f>'Receita Prefeitura'!G490</f>
        <v>194253.8</v>
      </c>
      <c r="E100" s="229">
        <f>'Receita Prefeitura'!H490</f>
        <v>256000</v>
      </c>
      <c r="F100" s="230">
        <f>'Receita Prefeitura'!I490</f>
        <v>293000</v>
      </c>
      <c r="J100" s="240"/>
      <c r="P100" s="206"/>
    </row>
    <row r="101" spans="1:16" ht="12.75" customHeight="1">
      <c r="A101" s="231" t="s">
        <v>442</v>
      </c>
      <c r="B101" s="232" t="s">
        <v>905</v>
      </c>
      <c r="C101" s="516" t="s">
        <v>927</v>
      </c>
      <c r="D101" s="243">
        <f>'Receita Prefeitura'!G491</f>
        <v>0</v>
      </c>
      <c r="E101" s="229">
        <f>'Receita Prefeitura'!H491</f>
        <v>10000</v>
      </c>
      <c r="F101" s="230">
        <f>'Receita Prefeitura'!I491</f>
        <v>11000</v>
      </c>
      <c r="J101" s="240"/>
      <c r="P101" s="206"/>
    </row>
    <row r="102" spans="1:16" ht="12.75" customHeight="1">
      <c r="A102" s="231" t="s">
        <v>442</v>
      </c>
      <c r="B102" s="232" t="s">
        <v>906</v>
      </c>
      <c r="C102" s="516" t="s">
        <v>928</v>
      </c>
      <c r="D102" s="243">
        <f>'Receita Prefeitura'!G492</f>
        <v>0</v>
      </c>
      <c r="E102" s="229">
        <f>'Receita Prefeitura'!H492</f>
        <v>0</v>
      </c>
      <c r="F102" s="230">
        <f>'Receita Prefeitura'!I492</f>
        <v>0</v>
      </c>
      <c r="J102" s="240"/>
      <c r="P102" s="206"/>
    </row>
    <row r="103" spans="1:16" ht="12.75">
      <c r="A103" s="231"/>
      <c r="B103" s="232"/>
      <c r="C103" s="516"/>
      <c r="D103" s="243"/>
      <c r="E103" s="229"/>
      <c r="F103" s="230"/>
      <c r="J103" s="240"/>
      <c r="P103" s="206"/>
    </row>
    <row r="104" spans="1:16" ht="12.75">
      <c r="A104" s="231"/>
      <c r="B104" s="232" t="s">
        <v>688</v>
      </c>
      <c r="C104" s="516" t="s">
        <v>682</v>
      </c>
      <c r="D104" s="243">
        <f>'Receita Prefeitura'!G495</f>
        <v>0</v>
      </c>
      <c r="E104" s="229">
        <f aca="true" t="shared" si="5" ref="E104:F106">E105</f>
        <v>20000</v>
      </c>
      <c r="F104" s="230">
        <f>F105+F111</f>
        <v>33000</v>
      </c>
      <c r="J104" s="240"/>
      <c r="P104" s="206"/>
    </row>
    <row r="105" spans="1:16" ht="12.75">
      <c r="A105" s="231"/>
      <c r="B105" s="232" t="s">
        <v>677</v>
      </c>
      <c r="C105" s="516" t="s">
        <v>683</v>
      </c>
      <c r="D105" s="243">
        <f>'Receita Prefeitura'!G496</f>
        <v>0</v>
      </c>
      <c r="E105" s="229">
        <f t="shared" si="5"/>
        <v>20000</v>
      </c>
      <c r="F105" s="230">
        <f t="shared" si="5"/>
        <v>22000</v>
      </c>
      <c r="J105" s="240"/>
      <c r="P105" s="206"/>
    </row>
    <row r="106" spans="1:16" ht="12.75">
      <c r="A106" s="231"/>
      <c r="B106" s="232" t="s">
        <v>678</v>
      </c>
      <c r="C106" s="516" t="s">
        <v>684</v>
      </c>
      <c r="D106" s="243">
        <f>'Receita Prefeitura'!G497</f>
        <v>0</v>
      </c>
      <c r="E106" s="229">
        <f t="shared" si="5"/>
        <v>20000</v>
      </c>
      <c r="F106" s="230">
        <f t="shared" si="5"/>
        <v>22000</v>
      </c>
      <c r="J106" s="240"/>
      <c r="P106" s="206"/>
    </row>
    <row r="107" spans="1:16" ht="12.75">
      <c r="A107" s="231"/>
      <c r="B107" s="232" t="s">
        <v>679</v>
      </c>
      <c r="C107" s="516" t="s">
        <v>685</v>
      </c>
      <c r="D107" s="243">
        <f>'Receita Prefeitura'!G498</f>
        <v>0</v>
      </c>
      <c r="E107" s="229">
        <f>E108+E109</f>
        <v>20000</v>
      </c>
      <c r="F107" s="230">
        <f>F108+F109</f>
        <v>22000</v>
      </c>
      <c r="J107" s="240"/>
      <c r="P107" s="206"/>
    </row>
    <row r="108" spans="1:16" ht="12.75">
      <c r="A108" s="231" t="s">
        <v>442</v>
      </c>
      <c r="B108" s="229" t="s">
        <v>680</v>
      </c>
      <c r="C108" s="517" t="s">
        <v>686</v>
      </c>
      <c r="D108" s="243">
        <f>'Receita Prefeitura'!G499</f>
        <v>0</v>
      </c>
      <c r="E108" s="229">
        <f>'Receita Prefeitura'!H499</f>
        <v>10000</v>
      </c>
      <c r="F108" s="230">
        <f>'Receita Prefeitura'!I499</f>
        <v>11000</v>
      </c>
      <c r="J108" s="240"/>
      <c r="P108" s="206"/>
    </row>
    <row r="109" spans="1:16" ht="12.75">
      <c r="A109" s="231" t="s">
        <v>442</v>
      </c>
      <c r="B109" s="229" t="s">
        <v>681</v>
      </c>
      <c r="C109" s="517" t="s">
        <v>687</v>
      </c>
      <c r="D109" s="243">
        <f>'Receita Prefeitura'!G500</f>
        <v>0</v>
      </c>
      <c r="E109" s="229">
        <f>'Receita Prefeitura'!H500</f>
        <v>10000</v>
      </c>
      <c r="F109" s="230">
        <f>'Receita Prefeitura'!I500</f>
        <v>11000</v>
      </c>
      <c r="J109" s="240"/>
      <c r="P109" s="206"/>
    </row>
    <row r="110" spans="1:16" ht="12.75">
      <c r="A110" s="231"/>
      <c r="B110" s="229"/>
      <c r="C110" s="517"/>
      <c r="D110" s="535"/>
      <c r="E110" s="429"/>
      <c r="F110" s="536"/>
      <c r="J110" s="240"/>
      <c r="P110" s="206"/>
    </row>
    <row r="111" spans="1:16" ht="12.75">
      <c r="A111" s="231" t="s">
        <v>442</v>
      </c>
      <c r="B111" s="232" t="s">
        <v>1039</v>
      </c>
      <c r="C111" s="233" t="s">
        <v>1040</v>
      </c>
      <c r="D111" s="535">
        <f>D112</f>
        <v>0</v>
      </c>
      <c r="E111" s="429">
        <f>E112</f>
        <v>10000</v>
      </c>
      <c r="F111" s="536">
        <f>F112</f>
        <v>11000</v>
      </c>
      <c r="J111" s="240"/>
      <c r="P111" s="206"/>
    </row>
    <row r="112" spans="1:6" ht="13.5" thickBot="1">
      <c r="A112" s="231" t="s">
        <v>442</v>
      </c>
      <c r="B112" s="232" t="s">
        <v>1039</v>
      </c>
      <c r="C112" s="233" t="s">
        <v>1040</v>
      </c>
      <c r="D112" s="537">
        <f>'Receita Prefeitura'!G502</f>
        <v>0</v>
      </c>
      <c r="E112" s="538">
        <f>'Receita Prefeitura'!H502</f>
        <v>10000</v>
      </c>
      <c r="F112" s="539">
        <f>'Receita Prefeitura'!I502</f>
        <v>11000</v>
      </c>
    </row>
    <row r="113" spans="1:6" ht="13.5" thickBot="1">
      <c r="A113" s="625" t="s">
        <v>642</v>
      </c>
      <c r="B113" s="626"/>
      <c r="C113" s="627"/>
      <c r="D113" s="274">
        <f>D79</f>
        <v>565718.1499999999</v>
      </c>
      <c r="E113" s="274">
        <f>E79</f>
        <v>1188000</v>
      </c>
      <c r="F113" s="385">
        <f>F79</f>
        <v>1371000</v>
      </c>
    </row>
    <row r="114" spans="1:6" ht="13.5" thickBot="1">
      <c r="A114" s="270"/>
      <c r="B114" s="270"/>
      <c r="C114" s="270"/>
      <c r="D114" s="291"/>
      <c r="E114" s="291"/>
      <c r="F114" s="291"/>
    </row>
    <row r="115" spans="1:6" ht="13.5" thickBot="1">
      <c r="A115" s="582" t="s">
        <v>643</v>
      </c>
      <c r="B115" s="583"/>
      <c r="C115" s="584"/>
      <c r="D115" s="274">
        <f>D113+D77</f>
        <v>1170662.75</v>
      </c>
      <c r="E115" s="274">
        <f>E113+E77</f>
        <v>2732000</v>
      </c>
      <c r="F115" s="385">
        <f>F113+F77</f>
        <v>3135000</v>
      </c>
    </row>
  </sheetData>
  <sheetProtection formatCells="0" formatColumns="0" formatRows="0" insertRows="0" deleteRows="0"/>
  <mergeCells count="5">
    <mergeCell ref="A115:C115"/>
    <mergeCell ref="A2:F2"/>
    <mergeCell ref="A113:C113"/>
    <mergeCell ref="A77:C77"/>
    <mergeCell ref="E1:F1"/>
  </mergeCells>
  <printOptions horizontalCentered="1"/>
  <pageMargins left="0.4724409448818898" right="0.3937007874015748" top="0.6692913385826772" bottom="0.3937007874015748" header="0.2755905511811024" footer="0.5118110236220472"/>
  <pageSetup horizontalDpi="600" verticalDpi="600" orientation="portrait" paperSize="9" scale="76" r:id="rId1"/>
  <headerFooter alignWithMargins="0">
    <oddHeader>&amp;LPrevisão da Receita com Base na Tendência Histórica, Econômica e Inflacionária
Exercício de 2011&amp;R&amp;P</oddHeader>
  </headerFooter>
  <rowBreaks count="1" manualBreakCount="1">
    <brk id="7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M126"/>
  <sheetViews>
    <sheetView view="pageBreakPreview" zoomScaleSheetLayoutView="100" zoomScalePageLayoutView="0" workbookViewId="0" topLeftCell="A1">
      <pane ySplit="4" topLeftCell="A111" activePane="bottomLeft" state="frozen"/>
      <selection pane="topLeft" activeCell="A1" sqref="A1:H1"/>
      <selection pane="bottomLeft" activeCell="F9" sqref="F9"/>
    </sheetView>
  </sheetViews>
  <sheetFormatPr defaultColWidth="9.140625" defaultRowHeight="12.75"/>
  <cols>
    <col min="1" max="1" width="8.00390625" style="1" customWidth="1"/>
    <col min="2" max="2" width="13.7109375" style="1" customWidth="1"/>
    <col min="3" max="3" width="53.421875" style="1" customWidth="1"/>
    <col min="4" max="4" width="15.00390625" style="22" hidden="1" customWidth="1"/>
    <col min="5" max="5" width="5.421875" style="22" hidden="1" customWidth="1"/>
    <col min="6" max="6" width="24.00390625" style="22" customWidth="1"/>
    <col min="7" max="16384" width="9.140625" style="1" customWidth="1"/>
  </cols>
  <sheetData>
    <row r="1" spans="1:6" ht="13.5" thickBot="1">
      <c r="A1" s="531"/>
      <c r="B1" s="531"/>
      <c r="C1" s="544" t="s">
        <v>1041</v>
      </c>
      <c r="D1" s="533">
        <f>RPPS!D1</f>
        <v>2012</v>
      </c>
      <c r="E1" s="633" t="s">
        <v>1028</v>
      </c>
      <c r="F1" s="634"/>
    </row>
    <row r="2" spans="1:6" ht="12.75">
      <c r="A2" s="632" t="str">
        <f>'Receita Prefeitura'!A2:I2</f>
        <v>MUNICÍPIO DE CHÃ GRANDE</v>
      </c>
      <c r="B2" s="632"/>
      <c r="C2" s="632"/>
      <c r="D2" s="632"/>
      <c r="E2" s="632"/>
      <c r="F2" s="632"/>
    </row>
    <row r="3" ht="13.5" thickBot="1"/>
    <row r="4" spans="1:6" ht="60" customHeight="1" thickBot="1">
      <c r="A4" s="58" t="s">
        <v>443</v>
      </c>
      <c r="B4" s="5" t="s">
        <v>198</v>
      </c>
      <c r="C4" s="6" t="s">
        <v>199</v>
      </c>
      <c r="D4" s="7" t="str">
        <f>'Receita Prefeitura'!G4:G4</f>
        <v>Receita Arrecadada no 1º Semestre de 2011</v>
      </c>
      <c r="E4" s="8" t="str">
        <f>'Receita Prefeitura'!H4:H5</f>
        <v>Receita Projetada para 2011</v>
      </c>
      <c r="F4" s="9" t="str">
        <f>'Receita Prefeitura'!I4:I5</f>
        <v>Previsão da Receita para 2012 (LDO)</v>
      </c>
    </row>
    <row r="5" spans="1:6" ht="12.75">
      <c r="A5" s="59"/>
      <c r="B5" s="25"/>
      <c r="C5" s="25"/>
      <c r="D5" s="60"/>
      <c r="E5" s="53"/>
      <c r="F5" s="54"/>
    </row>
    <row r="6" spans="1:6" ht="12.75">
      <c r="A6" s="15"/>
      <c r="B6" s="28" t="s">
        <v>0</v>
      </c>
      <c r="C6" s="16" t="s">
        <v>231</v>
      </c>
      <c r="D6" s="30">
        <f>D7+D12+D23+D30+D95</f>
        <v>1975999.8499999999</v>
      </c>
      <c r="E6" s="30">
        <f>E7+E12+E23+E30+E95</f>
        <v>3792000</v>
      </c>
      <c r="F6" s="31">
        <f>F7+F12+F23+F30+F95</f>
        <v>4415000</v>
      </c>
    </row>
    <row r="7" spans="1:6" ht="12.75">
      <c r="A7" s="61"/>
      <c r="B7" s="33" t="s">
        <v>1</v>
      </c>
      <c r="C7" s="62" t="s">
        <v>577</v>
      </c>
      <c r="D7" s="30">
        <f>D8</f>
        <v>0</v>
      </c>
      <c r="E7" s="30">
        <f aca="true" t="shared" si="0" ref="E7:F9">E8</f>
        <v>0</v>
      </c>
      <c r="F7" s="31">
        <f t="shared" si="0"/>
        <v>3000</v>
      </c>
    </row>
    <row r="8" spans="1:6" ht="12.75">
      <c r="A8" s="61"/>
      <c r="B8" s="33" t="s">
        <v>10</v>
      </c>
      <c r="C8" s="62" t="s">
        <v>282</v>
      </c>
      <c r="D8" s="30">
        <f>D9</f>
        <v>0</v>
      </c>
      <c r="E8" s="30">
        <f>E9</f>
        <v>0</v>
      </c>
      <c r="F8" s="31">
        <f>F9</f>
        <v>3000</v>
      </c>
    </row>
    <row r="9" spans="1:6" ht="12.75">
      <c r="A9" s="61"/>
      <c r="B9" s="33" t="s">
        <v>11</v>
      </c>
      <c r="C9" s="62" t="s">
        <v>578</v>
      </c>
      <c r="D9" s="30">
        <f>D10</f>
        <v>0</v>
      </c>
      <c r="E9" s="30">
        <f t="shared" si="0"/>
        <v>0</v>
      </c>
      <c r="F9" s="31">
        <v>3000</v>
      </c>
    </row>
    <row r="10" spans="1:6" ht="12.75" hidden="1">
      <c r="A10" s="32" t="s">
        <v>439</v>
      </c>
      <c r="B10" s="33" t="s">
        <v>12</v>
      </c>
      <c r="C10" s="62" t="s">
        <v>578</v>
      </c>
      <c r="D10" s="30"/>
      <c r="E10" s="30"/>
      <c r="F10" s="31"/>
    </row>
    <row r="11" spans="1:6" ht="12.75">
      <c r="A11" s="61"/>
      <c r="B11" s="33"/>
      <c r="C11" s="62"/>
      <c r="D11" s="30"/>
      <c r="E11" s="30"/>
      <c r="F11" s="31"/>
    </row>
    <row r="12" spans="1:6" ht="12.75">
      <c r="A12" s="61"/>
      <c r="B12" s="33" t="s">
        <v>43</v>
      </c>
      <c r="C12" s="62" t="s">
        <v>42</v>
      </c>
      <c r="D12" s="30">
        <f aca="true" t="shared" si="1" ref="D12:F13">D13</f>
        <v>8048.23</v>
      </c>
      <c r="E12" s="30">
        <f t="shared" si="1"/>
        <v>7000</v>
      </c>
      <c r="F12" s="31">
        <f t="shared" si="1"/>
        <v>20000</v>
      </c>
    </row>
    <row r="13" spans="1:6" ht="12.75">
      <c r="A13" s="61"/>
      <c r="B13" s="33" t="s">
        <v>52</v>
      </c>
      <c r="C13" s="62" t="s">
        <v>262</v>
      </c>
      <c r="D13" s="30">
        <f t="shared" si="1"/>
        <v>8048.23</v>
      </c>
      <c r="E13" s="30">
        <f t="shared" si="1"/>
        <v>7000</v>
      </c>
      <c r="F13" s="31">
        <f t="shared" si="1"/>
        <v>20000</v>
      </c>
    </row>
    <row r="14" spans="1:6" ht="12.75">
      <c r="A14" s="61"/>
      <c r="B14" s="33" t="s">
        <v>56</v>
      </c>
      <c r="C14" s="62" t="s">
        <v>579</v>
      </c>
      <c r="D14" s="30">
        <f>D15+D19</f>
        <v>8048.23</v>
      </c>
      <c r="E14" s="30">
        <f>E15+E19</f>
        <v>7000</v>
      </c>
      <c r="F14" s="31">
        <f>F15+F19</f>
        <v>20000</v>
      </c>
    </row>
    <row r="15" spans="1:6" ht="12.75">
      <c r="A15" s="61"/>
      <c r="B15" s="33" t="s">
        <v>57</v>
      </c>
      <c r="C15" s="62" t="s">
        <v>580</v>
      </c>
      <c r="D15" s="30">
        <f>D16+D17</f>
        <v>8048.23</v>
      </c>
      <c r="E15" s="30">
        <f>E16+E17</f>
        <v>7000</v>
      </c>
      <c r="F15" s="31">
        <f>F16+F17</f>
        <v>20000</v>
      </c>
    </row>
    <row r="16" spans="1:6" ht="12.75">
      <c r="A16" s="32" t="s">
        <v>439</v>
      </c>
      <c r="B16" s="33" t="s">
        <v>488</v>
      </c>
      <c r="C16" s="62" t="s">
        <v>263</v>
      </c>
      <c r="D16" s="30">
        <f>'Receita Prefeitura'!G110</f>
        <v>8048.23</v>
      </c>
      <c r="E16" s="30">
        <f>'Receita Prefeitura'!H110</f>
        <v>7000</v>
      </c>
      <c r="F16" s="31">
        <f>'Receita Prefeitura'!I110</f>
        <v>20000</v>
      </c>
    </row>
    <row r="17" spans="1:6" ht="12.75">
      <c r="A17" s="32" t="s">
        <v>439</v>
      </c>
      <c r="B17" s="33" t="s">
        <v>965</v>
      </c>
      <c r="C17" s="62" t="s">
        <v>964</v>
      </c>
      <c r="D17" s="30">
        <f>'Receita Prefeitura'!G111</f>
        <v>0</v>
      </c>
      <c r="E17" s="30">
        <f>'Receita Prefeitura'!H111</f>
        <v>0</v>
      </c>
      <c r="F17" s="31">
        <f>'Receita Prefeitura'!I111</f>
        <v>0</v>
      </c>
    </row>
    <row r="18" spans="1:6" ht="12.75">
      <c r="A18" s="32"/>
      <c r="B18" s="33"/>
      <c r="C18" s="62"/>
      <c r="D18" s="30"/>
      <c r="E18" s="30"/>
      <c r="F18" s="31"/>
    </row>
    <row r="19" spans="1:6" ht="12.75">
      <c r="A19" s="32"/>
      <c r="B19" s="33" t="s">
        <v>613</v>
      </c>
      <c r="C19" s="62" t="s">
        <v>614</v>
      </c>
      <c r="D19" s="48">
        <f aca="true" t="shared" si="2" ref="D19:F20">D20</f>
        <v>0</v>
      </c>
      <c r="E19" s="30">
        <f t="shared" si="2"/>
        <v>0</v>
      </c>
      <c r="F19" s="31">
        <f t="shared" si="2"/>
        <v>0</v>
      </c>
    </row>
    <row r="20" spans="1:6" ht="12.75">
      <c r="A20" s="32"/>
      <c r="B20" s="33" t="s">
        <v>615</v>
      </c>
      <c r="C20" s="62" t="s">
        <v>616</v>
      </c>
      <c r="D20" s="48">
        <f t="shared" si="2"/>
        <v>0</v>
      </c>
      <c r="E20" s="30">
        <f t="shared" si="2"/>
        <v>0</v>
      </c>
      <c r="F20" s="31">
        <f t="shared" si="2"/>
        <v>0</v>
      </c>
    </row>
    <row r="21" spans="1:6" ht="12.75">
      <c r="A21" s="32" t="s">
        <v>439</v>
      </c>
      <c r="B21" s="33" t="s">
        <v>700</v>
      </c>
      <c r="C21" s="62" t="s">
        <v>699</v>
      </c>
      <c r="D21" s="48">
        <f>'Receita Prefeitura'!G124</f>
        <v>0</v>
      </c>
      <c r="E21" s="48">
        <f>'Receita Prefeitura'!H124</f>
        <v>0</v>
      </c>
      <c r="F21" s="31">
        <f>'Receita Prefeitura'!I124</f>
        <v>0</v>
      </c>
    </row>
    <row r="22" spans="1:6" ht="12.75">
      <c r="A22" s="61"/>
      <c r="B22" s="33"/>
      <c r="C22" s="62"/>
      <c r="D22" s="48"/>
      <c r="E22" s="30"/>
      <c r="F22" s="31"/>
    </row>
    <row r="23" spans="1:6" ht="12.75">
      <c r="A23" s="61"/>
      <c r="B23" s="33" t="s">
        <v>67</v>
      </c>
      <c r="C23" s="62" t="s">
        <v>307</v>
      </c>
      <c r="D23" s="30">
        <f>D24</f>
        <v>0</v>
      </c>
      <c r="E23" s="30">
        <f>E24</f>
        <v>0</v>
      </c>
      <c r="F23" s="31">
        <f>F24</f>
        <v>0</v>
      </c>
    </row>
    <row r="24" spans="1:6" ht="12.75">
      <c r="A24" s="61"/>
      <c r="B24" s="33" t="s">
        <v>68</v>
      </c>
      <c r="C24" s="62" t="s">
        <v>581</v>
      </c>
      <c r="D24" s="30">
        <f>SUM(D25:D28)</f>
        <v>0</v>
      </c>
      <c r="E24" s="30">
        <f>SUM(E25:E28)</f>
        <v>0</v>
      </c>
      <c r="F24" s="31">
        <f>SUM(F25:F28)</f>
        <v>0</v>
      </c>
    </row>
    <row r="25" spans="1:6" ht="12.75">
      <c r="A25" s="32" t="s">
        <v>439</v>
      </c>
      <c r="B25" s="33" t="s">
        <v>69</v>
      </c>
      <c r="C25" s="62" t="s">
        <v>582</v>
      </c>
      <c r="D25" s="30">
        <f>'Receita Prefeitura'!G146</f>
        <v>0</v>
      </c>
      <c r="E25" s="30">
        <f>'Receita Prefeitura'!H146</f>
        <v>0</v>
      </c>
      <c r="F25" s="31">
        <f>'Receita Prefeitura'!I146</f>
        <v>0</v>
      </c>
    </row>
    <row r="26" spans="1:6" ht="12.75">
      <c r="A26" s="32" t="s">
        <v>439</v>
      </c>
      <c r="B26" s="33" t="s">
        <v>405</v>
      </c>
      <c r="C26" s="62" t="s">
        <v>583</v>
      </c>
      <c r="D26" s="30">
        <f>'Receita Prefeitura'!G147</f>
        <v>0</v>
      </c>
      <c r="E26" s="30">
        <f>'Receita Prefeitura'!H147</f>
        <v>0</v>
      </c>
      <c r="F26" s="31">
        <f>'Receita Prefeitura'!I147</f>
        <v>0</v>
      </c>
    </row>
    <row r="27" spans="1:6" ht="12.75">
      <c r="A27" s="32" t="s">
        <v>439</v>
      </c>
      <c r="B27" s="33" t="s">
        <v>492</v>
      </c>
      <c r="C27" s="62" t="s">
        <v>584</v>
      </c>
      <c r="D27" s="30">
        <f>'Receita Prefeitura'!G148</f>
        <v>0</v>
      </c>
      <c r="E27" s="30">
        <f>'Receita Prefeitura'!H148</f>
        <v>0</v>
      </c>
      <c r="F27" s="31">
        <f>'Receita Prefeitura'!I148</f>
        <v>0</v>
      </c>
    </row>
    <row r="28" spans="1:6" ht="12.75">
      <c r="A28" s="32" t="s">
        <v>439</v>
      </c>
      <c r="B28" s="33" t="s">
        <v>71</v>
      </c>
      <c r="C28" s="62" t="s">
        <v>585</v>
      </c>
      <c r="D28" s="30">
        <f>'Receita Prefeitura'!G149</f>
        <v>0</v>
      </c>
      <c r="E28" s="30">
        <f>'Receita Prefeitura'!H149</f>
        <v>0</v>
      </c>
      <c r="F28" s="31">
        <f>'Receita Prefeitura'!I149</f>
        <v>0</v>
      </c>
    </row>
    <row r="29" spans="1:6" ht="12.75">
      <c r="A29" s="61"/>
      <c r="B29" s="33"/>
      <c r="C29" s="62"/>
      <c r="D29" s="30"/>
      <c r="E29" s="30"/>
      <c r="F29" s="31"/>
    </row>
    <row r="30" spans="1:6" ht="12.75">
      <c r="A30" s="61"/>
      <c r="B30" s="33" t="s">
        <v>99</v>
      </c>
      <c r="C30" s="62" t="s">
        <v>98</v>
      </c>
      <c r="D30" s="30">
        <f>D31+D88</f>
        <v>1963451.6199999999</v>
      </c>
      <c r="E30" s="30">
        <f>E31+E88</f>
        <v>3785000</v>
      </c>
      <c r="F30" s="31">
        <f>F31+F88</f>
        <v>4392000</v>
      </c>
    </row>
    <row r="31" spans="1:6" ht="12.75">
      <c r="A31" s="61"/>
      <c r="B31" s="33" t="s">
        <v>100</v>
      </c>
      <c r="C31" s="62" t="s">
        <v>272</v>
      </c>
      <c r="D31" s="48">
        <f>D32+D85</f>
        <v>1963451.6199999999</v>
      </c>
      <c r="E31" s="30">
        <f>E32+E85</f>
        <v>3785000</v>
      </c>
      <c r="F31" s="31">
        <f>F32+F85</f>
        <v>4392000</v>
      </c>
    </row>
    <row r="32" spans="1:6" ht="12.75">
      <c r="A32" s="61"/>
      <c r="B32" s="33" t="s">
        <v>102</v>
      </c>
      <c r="C32" s="62" t="s">
        <v>586</v>
      </c>
      <c r="D32" s="48">
        <f>D33</f>
        <v>1859359.1199999999</v>
      </c>
      <c r="E32" s="30">
        <f>E33</f>
        <v>3723000</v>
      </c>
      <c r="F32" s="31">
        <f>F33</f>
        <v>4162000</v>
      </c>
    </row>
    <row r="33" spans="1:6" ht="12.75">
      <c r="A33" s="32"/>
      <c r="B33" s="33" t="s">
        <v>107</v>
      </c>
      <c r="C33" s="62" t="s">
        <v>328</v>
      </c>
      <c r="D33" s="48">
        <f>'Receita Prefeitura'!G200</f>
        <v>1859359.1199999999</v>
      </c>
      <c r="E33" s="48">
        <f>'Receita Prefeitura'!H200</f>
        <v>3723000</v>
      </c>
      <c r="F33" s="31">
        <f>'Receita Prefeitura'!I200</f>
        <v>4162000</v>
      </c>
    </row>
    <row r="34" spans="1:6" ht="12.75">
      <c r="A34" s="32"/>
      <c r="B34" s="33" t="s">
        <v>509</v>
      </c>
      <c r="C34" s="62" t="s">
        <v>226</v>
      </c>
      <c r="D34" s="48">
        <f>SUM(D35:D46)</f>
        <v>981726</v>
      </c>
      <c r="E34" s="30">
        <f>SUM(E35:E46)</f>
        <v>1864000</v>
      </c>
      <c r="F34" s="31">
        <f>SUM(F35:F46)</f>
        <v>2191000</v>
      </c>
    </row>
    <row r="35" spans="1:6" ht="12.75">
      <c r="A35" s="32" t="s">
        <v>439</v>
      </c>
      <c r="B35" s="33" t="s">
        <v>497</v>
      </c>
      <c r="C35" s="62" t="s">
        <v>325</v>
      </c>
      <c r="D35" s="48">
        <f>'Receita Prefeitura'!G202</f>
        <v>164448</v>
      </c>
      <c r="E35" s="30">
        <f>'Receita Prefeitura'!H202</f>
        <v>362000</v>
      </c>
      <c r="F35" s="31">
        <f>'Receita Prefeitura'!I202</f>
        <v>524000</v>
      </c>
    </row>
    <row r="36" spans="1:6" ht="12.75">
      <c r="A36" s="32" t="s">
        <v>439</v>
      </c>
      <c r="B36" s="33" t="s">
        <v>498</v>
      </c>
      <c r="C36" s="62" t="s">
        <v>695</v>
      </c>
      <c r="D36" s="48">
        <f>'Receita Prefeitura'!G203</f>
        <v>422400</v>
      </c>
      <c r="E36" s="30">
        <f>'Receita Prefeitura'!H203</f>
        <v>860000</v>
      </c>
      <c r="F36" s="31">
        <f>'Receita Prefeitura'!I203</f>
        <v>930000</v>
      </c>
    </row>
    <row r="37" spans="1:6" ht="12.75">
      <c r="A37" s="32" t="s">
        <v>439</v>
      </c>
      <c r="B37" s="33" t="s">
        <v>499</v>
      </c>
      <c r="C37" s="62" t="s">
        <v>696</v>
      </c>
      <c r="D37" s="48">
        <f>'Receita Prefeitura'!G204</f>
        <v>241878</v>
      </c>
      <c r="E37" s="30">
        <f>'Receita Prefeitura'!H204</f>
        <v>374000</v>
      </c>
      <c r="F37" s="31">
        <f>'Receita Prefeitura'!I204</f>
        <v>446000</v>
      </c>
    </row>
    <row r="38" spans="1:6" ht="12.75">
      <c r="A38" s="32" t="s">
        <v>439</v>
      </c>
      <c r="B38" s="33" t="s">
        <v>500</v>
      </c>
      <c r="C38" s="62" t="s">
        <v>697</v>
      </c>
      <c r="D38" s="48">
        <f>'Receita Prefeitura'!G205</f>
        <v>153000</v>
      </c>
      <c r="E38" s="30">
        <f>'Receita Prefeitura'!H205</f>
        <v>268000</v>
      </c>
      <c r="F38" s="31">
        <f>'Receita Prefeitura'!I205</f>
        <v>291000</v>
      </c>
    </row>
    <row r="39" spans="1:6" ht="12.75">
      <c r="A39" s="32" t="s">
        <v>439</v>
      </c>
      <c r="B39" s="33" t="s">
        <v>501</v>
      </c>
      <c r="C39" s="62" t="s">
        <v>502</v>
      </c>
      <c r="D39" s="48">
        <f>'Receita Prefeitura'!G206</f>
        <v>0</v>
      </c>
      <c r="E39" s="30">
        <f>'Receita Prefeitura'!H206</f>
        <v>0</v>
      </c>
      <c r="F39" s="31">
        <f>'Receita Prefeitura'!I206</f>
        <v>0</v>
      </c>
    </row>
    <row r="40" spans="1:6" ht="12.75">
      <c r="A40" s="32" t="s">
        <v>439</v>
      </c>
      <c r="B40" s="33" t="s">
        <v>503</v>
      </c>
      <c r="C40" s="62" t="s">
        <v>504</v>
      </c>
      <c r="D40" s="48">
        <f>'Receita Prefeitura'!G207</f>
        <v>0</v>
      </c>
      <c r="E40" s="30">
        <f>'Receita Prefeitura'!H207</f>
        <v>0</v>
      </c>
      <c r="F40" s="31">
        <f>'Receita Prefeitura'!I207</f>
        <v>0</v>
      </c>
    </row>
    <row r="41" spans="1:6" ht="12.75">
      <c r="A41" s="32" t="s">
        <v>439</v>
      </c>
      <c r="B41" s="33" t="s">
        <v>505</v>
      </c>
      <c r="C41" s="62" t="s">
        <v>506</v>
      </c>
      <c r="D41" s="48">
        <f>'Receita Prefeitura'!G208</f>
        <v>0</v>
      </c>
      <c r="E41" s="30">
        <f>'Receita Prefeitura'!H208</f>
        <v>0</v>
      </c>
      <c r="F41" s="31">
        <f>'Receita Prefeitura'!I208</f>
        <v>0</v>
      </c>
    </row>
    <row r="42" spans="1:7" ht="12.75">
      <c r="A42" s="32" t="s">
        <v>439</v>
      </c>
      <c r="B42" s="33" t="s">
        <v>703</v>
      </c>
      <c r="C42" s="62" t="s">
        <v>704</v>
      </c>
      <c r="D42" s="48">
        <f>'Receita Prefeitura'!G209</f>
        <v>0</v>
      </c>
      <c r="E42" s="30">
        <f>'Receita Prefeitura'!H209</f>
        <v>0</v>
      </c>
      <c r="F42" s="47">
        <f>'Receita Prefeitura'!I209</f>
        <v>0</v>
      </c>
      <c r="G42" s="14"/>
    </row>
    <row r="43" spans="1:7" ht="12.75">
      <c r="A43" s="32" t="s">
        <v>439</v>
      </c>
      <c r="B43" s="33" t="s">
        <v>705</v>
      </c>
      <c r="C43" s="62" t="s">
        <v>706</v>
      </c>
      <c r="D43" s="48">
        <f>'Receita Prefeitura'!G210</f>
        <v>0</v>
      </c>
      <c r="E43" s="30">
        <f>'Receita Prefeitura'!H210</f>
        <v>0</v>
      </c>
      <c r="F43" s="47">
        <f>'Receita Prefeitura'!I210</f>
        <v>0</v>
      </c>
      <c r="G43" s="14"/>
    </row>
    <row r="44" spans="1:7" ht="12.75">
      <c r="A44" s="32" t="s">
        <v>439</v>
      </c>
      <c r="B44" s="33" t="s">
        <v>740</v>
      </c>
      <c r="C44" s="62" t="s">
        <v>741</v>
      </c>
      <c r="D44" s="48">
        <f>'Receita Prefeitura'!G211</f>
        <v>0</v>
      </c>
      <c r="E44" s="30">
        <f>'Receita Prefeitura'!H211</f>
        <v>0</v>
      </c>
      <c r="F44" s="47">
        <f>'Receita Prefeitura'!I211</f>
        <v>0</v>
      </c>
      <c r="G44" s="14"/>
    </row>
    <row r="45" spans="1:7" ht="12.75">
      <c r="A45" s="32" t="s">
        <v>439</v>
      </c>
      <c r="B45" s="33" t="s">
        <v>745</v>
      </c>
      <c r="C45" s="62" t="s">
        <v>746</v>
      </c>
      <c r="D45" s="48">
        <f>'Receita Prefeitura'!G212</f>
        <v>0</v>
      </c>
      <c r="E45" s="30">
        <f>'Receita Prefeitura'!H212</f>
        <v>0</v>
      </c>
      <c r="F45" s="47">
        <f>'Receita Prefeitura'!I212</f>
        <v>0</v>
      </c>
      <c r="G45" s="14"/>
    </row>
    <row r="46" spans="1:6" ht="12.75">
      <c r="A46" s="32" t="s">
        <v>439</v>
      </c>
      <c r="B46" s="33" t="s">
        <v>507</v>
      </c>
      <c r="C46" s="62" t="s">
        <v>508</v>
      </c>
      <c r="D46" s="48">
        <f>'Receita Prefeitura'!G213</f>
        <v>0</v>
      </c>
      <c r="E46" s="30">
        <f>'Receita Prefeitura'!H213</f>
        <v>0</v>
      </c>
      <c r="F46" s="47">
        <f>'Receita Prefeitura'!I213</f>
        <v>0</v>
      </c>
    </row>
    <row r="47" spans="1:6" ht="12.75">
      <c r="A47" s="32"/>
      <c r="B47" s="33"/>
      <c r="C47" s="62"/>
      <c r="D47" s="48"/>
      <c r="E47" s="30"/>
      <c r="F47" s="31"/>
    </row>
    <row r="48" spans="1:6" ht="12.75">
      <c r="A48" s="32"/>
      <c r="B48" s="33" t="s">
        <v>108</v>
      </c>
      <c r="C48" s="62" t="s">
        <v>510</v>
      </c>
      <c r="D48" s="48">
        <f>SUM(D49:D62)</f>
        <v>779964.49</v>
      </c>
      <c r="E48" s="30">
        <f>SUM(E49:E62)</f>
        <v>1626000</v>
      </c>
      <c r="F48" s="31">
        <f>SUM(F49:F62)</f>
        <v>1692000</v>
      </c>
    </row>
    <row r="49" spans="1:6" ht="12.75">
      <c r="A49" s="32" t="s">
        <v>439</v>
      </c>
      <c r="B49" s="33" t="s">
        <v>511</v>
      </c>
      <c r="C49" s="62" t="s">
        <v>512</v>
      </c>
      <c r="D49" s="48">
        <f>'Receita Prefeitura'!G216</f>
        <v>779964.49</v>
      </c>
      <c r="E49" s="30">
        <f>'Receita Prefeitura'!H216</f>
        <v>1626000</v>
      </c>
      <c r="F49" s="31">
        <f>'Receita Prefeitura'!I216</f>
        <v>1692000</v>
      </c>
    </row>
    <row r="50" spans="1:6" ht="12.75">
      <c r="A50" s="32" t="s">
        <v>439</v>
      </c>
      <c r="B50" s="33" t="s">
        <v>513</v>
      </c>
      <c r="C50" s="62" t="s">
        <v>514</v>
      </c>
      <c r="D50" s="48">
        <f>'Receita Prefeitura'!G217</f>
        <v>0</v>
      </c>
      <c r="E50" s="30">
        <f>'Receita Prefeitura'!H217</f>
        <v>0</v>
      </c>
      <c r="F50" s="31">
        <f>'Receita Prefeitura'!I217</f>
        <v>0</v>
      </c>
    </row>
    <row r="51" spans="1:6" ht="12.75">
      <c r="A51" s="32" t="s">
        <v>439</v>
      </c>
      <c r="B51" s="33" t="s">
        <v>515</v>
      </c>
      <c r="C51" s="62" t="s">
        <v>516</v>
      </c>
      <c r="D51" s="48">
        <f>'Receita Prefeitura'!G218</f>
        <v>0</v>
      </c>
      <c r="E51" s="30">
        <f>'Receita Prefeitura'!H218</f>
        <v>0</v>
      </c>
      <c r="F51" s="31">
        <f>'Receita Prefeitura'!I218</f>
        <v>0</v>
      </c>
    </row>
    <row r="52" spans="1:6" ht="12.75">
      <c r="A52" s="32" t="s">
        <v>439</v>
      </c>
      <c r="B52" s="33" t="s">
        <v>517</v>
      </c>
      <c r="C52" s="62" t="s">
        <v>518</v>
      </c>
      <c r="D52" s="48">
        <f>'Receita Prefeitura'!G219</f>
        <v>0</v>
      </c>
      <c r="E52" s="30">
        <f>'Receita Prefeitura'!H219</f>
        <v>0</v>
      </c>
      <c r="F52" s="31">
        <f>'Receita Prefeitura'!I219</f>
        <v>0</v>
      </c>
    </row>
    <row r="53" spans="1:6" ht="12.75">
      <c r="A53" s="32" t="s">
        <v>439</v>
      </c>
      <c r="B53" s="33" t="s">
        <v>519</v>
      </c>
      <c r="C53" s="62" t="s">
        <v>520</v>
      </c>
      <c r="D53" s="48">
        <f>'Receita Prefeitura'!G220</f>
        <v>0</v>
      </c>
      <c r="E53" s="30">
        <f>'Receita Prefeitura'!H220</f>
        <v>0</v>
      </c>
      <c r="F53" s="31">
        <f>'Receita Prefeitura'!I220</f>
        <v>0</v>
      </c>
    </row>
    <row r="54" spans="1:6" ht="12.75">
      <c r="A54" s="32" t="s">
        <v>439</v>
      </c>
      <c r="B54" s="33" t="s">
        <v>521</v>
      </c>
      <c r="C54" s="62" t="s">
        <v>522</v>
      </c>
      <c r="D54" s="48">
        <f>'Receita Prefeitura'!G221</f>
        <v>0</v>
      </c>
      <c r="E54" s="30">
        <f>'Receita Prefeitura'!H221</f>
        <v>0</v>
      </c>
      <c r="F54" s="31">
        <f>'Receita Prefeitura'!I221</f>
        <v>0</v>
      </c>
    </row>
    <row r="55" spans="1:6" ht="12.75">
      <c r="A55" s="32" t="s">
        <v>439</v>
      </c>
      <c r="B55" s="33" t="s">
        <v>523</v>
      </c>
      <c r="C55" s="62" t="s">
        <v>524</v>
      </c>
      <c r="D55" s="48">
        <f>'Receita Prefeitura'!G222</f>
        <v>0</v>
      </c>
      <c r="E55" s="30">
        <f>'Receita Prefeitura'!H222</f>
        <v>0</v>
      </c>
      <c r="F55" s="31">
        <f>'Receita Prefeitura'!I222</f>
        <v>0</v>
      </c>
    </row>
    <row r="56" spans="1:6" ht="12.75">
      <c r="A56" s="32" t="s">
        <v>439</v>
      </c>
      <c r="B56" s="33" t="s">
        <v>525</v>
      </c>
      <c r="C56" s="62" t="s">
        <v>526</v>
      </c>
      <c r="D56" s="48">
        <f>'Receita Prefeitura'!G223</f>
        <v>0</v>
      </c>
      <c r="E56" s="30">
        <f>'Receita Prefeitura'!H223</f>
        <v>0</v>
      </c>
      <c r="F56" s="31">
        <f>'Receita Prefeitura'!I223</f>
        <v>0</v>
      </c>
    </row>
    <row r="57" spans="1:6" ht="12.75">
      <c r="A57" s="32" t="s">
        <v>439</v>
      </c>
      <c r="B57" s="33" t="s">
        <v>527</v>
      </c>
      <c r="C57" s="62" t="s">
        <v>528</v>
      </c>
      <c r="D57" s="48">
        <f>'Receita Prefeitura'!G224</f>
        <v>0</v>
      </c>
      <c r="E57" s="30">
        <f>'Receita Prefeitura'!H224</f>
        <v>0</v>
      </c>
      <c r="F57" s="31">
        <f>'Receita Prefeitura'!I224</f>
        <v>0</v>
      </c>
    </row>
    <row r="58" spans="1:6" ht="12.75">
      <c r="A58" s="32" t="s">
        <v>439</v>
      </c>
      <c r="B58" s="33" t="s">
        <v>529</v>
      </c>
      <c r="C58" s="62" t="s">
        <v>530</v>
      </c>
      <c r="D58" s="48">
        <f>'Receita Prefeitura'!G225</f>
        <v>0</v>
      </c>
      <c r="E58" s="30">
        <f>'Receita Prefeitura'!H225</f>
        <v>0</v>
      </c>
      <c r="F58" s="31">
        <f>'Receita Prefeitura'!I225</f>
        <v>0</v>
      </c>
    </row>
    <row r="59" spans="1:6" ht="12.75">
      <c r="A59" s="32" t="s">
        <v>439</v>
      </c>
      <c r="B59" s="33" t="s">
        <v>531</v>
      </c>
      <c r="C59" s="62" t="s">
        <v>532</v>
      </c>
      <c r="D59" s="48">
        <f>'Receita Prefeitura'!G226</f>
        <v>0</v>
      </c>
      <c r="E59" s="30">
        <f>'Receita Prefeitura'!H226</f>
        <v>0</v>
      </c>
      <c r="F59" s="31">
        <f>'Receita Prefeitura'!I226</f>
        <v>0</v>
      </c>
    </row>
    <row r="60" spans="1:6" ht="12.75">
      <c r="A60" s="32" t="s">
        <v>439</v>
      </c>
      <c r="B60" s="33" t="s">
        <v>533</v>
      </c>
      <c r="C60" s="62" t="s">
        <v>534</v>
      </c>
      <c r="D60" s="48">
        <f>'Receita Prefeitura'!G227</f>
        <v>0</v>
      </c>
      <c r="E60" s="30">
        <f>'Receita Prefeitura'!H227</f>
        <v>0</v>
      </c>
      <c r="F60" s="31">
        <f>'Receita Prefeitura'!I227</f>
        <v>0</v>
      </c>
    </row>
    <row r="61" spans="1:6" ht="12.75">
      <c r="A61" s="32" t="s">
        <v>439</v>
      </c>
      <c r="B61" s="33" t="s">
        <v>535</v>
      </c>
      <c r="C61" s="62" t="s">
        <v>536</v>
      </c>
      <c r="D61" s="48">
        <f>'Receita Prefeitura'!G228</f>
        <v>0</v>
      </c>
      <c r="E61" s="30">
        <f>'Receita Prefeitura'!H228</f>
        <v>0</v>
      </c>
      <c r="F61" s="31">
        <f>'Receita Prefeitura'!I228</f>
        <v>0</v>
      </c>
    </row>
    <row r="62" spans="1:6" ht="12.75">
      <c r="A62" s="32" t="s">
        <v>439</v>
      </c>
      <c r="B62" s="33" t="s">
        <v>537</v>
      </c>
      <c r="C62" s="62" t="s">
        <v>508</v>
      </c>
      <c r="D62" s="48">
        <f>'Receita Prefeitura'!G229</f>
        <v>0</v>
      </c>
      <c r="E62" s="30">
        <f>'Receita Prefeitura'!H229</f>
        <v>0</v>
      </c>
      <c r="F62" s="31">
        <f>'Receita Prefeitura'!I229</f>
        <v>0</v>
      </c>
    </row>
    <row r="63" spans="1:6" ht="12.75">
      <c r="A63" s="32"/>
      <c r="B63" s="33"/>
      <c r="C63" s="62"/>
      <c r="D63" s="48"/>
      <c r="E63" s="30"/>
      <c r="F63" s="31"/>
    </row>
    <row r="64" spans="1:6" ht="12.75">
      <c r="A64" s="32"/>
      <c r="B64" s="33" t="s">
        <v>538</v>
      </c>
      <c r="C64" s="62" t="s">
        <v>539</v>
      </c>
      <c r="D64" s="48">
        <f>SUM(D65:D67)</f>
        <v>44344.73</v>
      </c>
      <c r="E64" s="30">
        <f>SUM(E65:E67)</f>
        <v>136000</v>
      </c>
      <c r="F64" s="31">
        <f>SUM(F65:F67)</f>
        <v>178000</v>
      </c>
    </row>
    <row r="65" spans="1:6" ht="12.75">
      <c r="A65" s="32" t="s">
        <v>439</v>
      </c>
      <c r="B65" s="33" t="s">
        <v>540</v>
      </c>
      <c r="C65" s="62" t="s">
        <v>541</v>
      </c>
      <c r="D65" s="48">
        <f>'Receita Prefeitura'!G232</f>
        <v>44344.73</v>
      </c>
      <c r="E65" s="30">
        <f>'Receita Prefeitura'!H232</f>
        <v>65000</v>
      </c>
      <c r="F65" s="31">
        <f>'Receita Prefeitura'!I232</f>
        <v>98000</v>
      </c>
    </row>
    <row r="66" spans="1:6" ht="12.75">
      <c r="A66" s="32" t="s">
        <v>439</v>
      </c>
      <c r="B66" s="33" t="s">
        <v>1001</v>
      </c>
      <c r="C66" s="62" t="s">
        <v>484</v>
      </c>
      <c r="D66" s="48">
        <f>'Receita Prefeitura'!G233</f>
        <v>0</v>
      </c>
      <c r="E66" s="30">
        <f>'Receita Prefeitura'!H233</f>
        <v>31000</v>
      </c>
      <c r="F66" s="31">
        <f>'Receita Prefeitura'!I233</f>
        <v>30000</v>
      </c>
    </row>
    <row r="67" spans="1:6" ht="12.75">
      <c r="A67" s="32" t="s">
        <v>439</v>
      </c>
      <c r="B67" s="33" t="s">
        <v>542</v>
      </c>
      <c r="C67" s="62" t="s">
        <v>508</v>
      </c>
      <c r="D67" s="48">
        <f>'Receita Prefeitura'!G234</f>
        <v>0</v>
      </c>
      <c r="E67" s="30">
        <f>'Receita Prefeitura'!H234</f>
        <v>40000</v>
      </c>
      <c r="F67" s="31">
        <f>'Receita Prefeitura'!I234</f>
        <v>50000</v>
      </c>
    </row>
    <row r="68" spans="1:6" ht="12.75">
      <c r="A68" s="32"/>
      <c r="B68" s="33"/>
      <c r="C68" s="62"/>
      <c r="D68" s="48"/>
      <c r="E68" s="30"/>
      <c r="F68" s="31"/>
    </row>
    <row r="69" spans="1:6" ht="12.75">
      <c r="A69" s="32"/>
      <c r="B69" s="33" t="s">
        <v>543</v>
      </c>
      <c r="C69" s="62" t="s">
        <v>544</v>
      </c>
      <c r="D69" s="48">
        <f>SUM(D70:D71)</f>
        <v>53323.9</v>
      </c>
      <c r="E69" s="30">
        <f>SUM(E70:E71)</f>
        <v>97000</v>
      </c>
      <c r="F69" s="31">
        <f>SUM(F70:F71)</f>
        <v>101000</v>
      </c>
    </row>
    <row r="70" spans="1:6" ht="12.75">
      <c r="A70" s="32" t="s">
        <v>439</v>
      </c>
      <c r="B70" s="33" t="s">
        <v>545</v>
      </c>
      <c r="C70" s="62" t="s">
        <v>554</v>
      </c>
      <c r="D70" s="48">
        <f>'Receita Prefeitura'!G237</f>
        <v>53323.9</v>
      </c>
      <c r="E70" s="30">
        <f>'Receita Prefeitura'!H237</f>
        <v>97000</v>
      </c>
      <c r="F70" s="31">
        <f>'Receita Prefeitura'!I237</f>
        <v>101000</v>
      </c>
    </row>
    <row r="71" spans="1:6" ht="12.75">
      <c r="A71" s="32" t="s">
        <v>439</v>
      </c>
      <c r="B71" s="33" t="s">
        <v>546</v>
      </c>
      <c r="C71" s="62" t="s">
        <v>508</v>
      </c>
      <c r="D71" s="48">
        <f>'Receita Prefeitura'!G238</f>
        <v>0</v>
      </c>
      <c r="E71" s="30">
        <f>'Receita Prefeitura'!H238</f>
        <v>0</v>
      </c>
      <c r="F71" s="31">
        <f>'Receita Prefeitura'!I238</f>
        <v>0</v>
      </c>
    </row>
    <row r="72" spans="1:6" ht="12.75">
      <c r="A72" s="32"/>
      <c r="B72" s="33"/>
      <c r="C72" s="62"/>
      <c r="D72" s="48"/>
      <c r="E72" s="30"/>
      <c r="F72" s="31"/>
    </row>
    <row r="73" spans="1:6" ht="12.75">
      <c r="A73" s="32" t="s">
        <v>439</v>
      </c>
      <c r="B73" s="33" t="s">
        <v>547</v>
      </c>
      <c r="C73" s="62" t="s">
        <v>548</v>
      </c>
      <c r="D73" s="48">
        <f>SUM(D74:D76)</f>
        <v>0</v>
      </c>
      <c r="E73" s="30">
        <f>SUM(E74:E76)</f>
        <v>0</v>
      </c>
      <c r="F73" s="31">
        <f>SUM(F74:F76)</f>
        <v>0</v>
      </c>
    </row>
    <row r="74" spans="1:6" ht="12.75">
      <c r="A74" s="32" t="s">
        <v>439</v>
      </c>
      <c r="B74" s="33" t="s">
        <v>549</v>
      </c>
      <c r="C74" s="62" t="s">
        <v>550</v>
      </c>
      <c r="D74" s="48">
        <f>'Receita Prefeitura'!G241</f>
        <v>0</v>
      </c>
      <c r="E74" s="30">
        <f>'Receita Prefeitura'!H241</f>
        <v>0</v>
      </c>
      <c r="F74" s="31">
        <f>'Receita Prefeitura'!I241</f>
        <v>0</v>
      </c>
    </row>
    <row r="75" spans="1:6" ht="12.75">
      <c r="A75" s="32" t="s">
        <v>439</v>
      </c>
      <c r="B75" s="33" t="s">
        <v>551</v>
      </c>
      <c r="C75" s="62" t="s">
        <v>552</v>
      </c>
      <c r="D75" s="48">
        <f>'Receita Prefeitura'!G242</f>
        <v>0</v>
      </c>
      <c r="E75" s="30">
        <f>'Receita Prefeitura'!H242</f>
        <v>0</v>
      </c>
      <c r="F75" s="31">
        <f>'Receita Prefeitura'!I242</f>
        <v>0</v>
      </c>
    </row>
    <row r="76" spans="1:6" ht="12.75">
      <c r="A76" s="32" t="s">
        <v>439</v>
      </c>
      <c r="B76" s="33" t="s">
        <v>553</v>
      </c>
      <c r="C76" s="62" t="s">
        <v>508</v>
      </c>
      <c r="D76" s="48">
        <f>'Receita Prefeitura'!G243</f>
        <v>0</v>
      </c>
      <c r="E76" s="30">
        <f>'Receita Prefeitura'!H243</f>
        <v>0</v>
      </c>
      <c r="F76" s="31">
        <f>'Receita Prefeitura'!I243</f>
        <v>0</v>
      </c>
    </row>
    <row r="77" spans="1:6" ht="12.75">
      <c r="A77" s="32"/>
      <c r="B77" s="33"/>
      <c r="C77" s="62"/>
      <c r="D77" s="48"/>
      <c r="E77" s="30"/>
      <c r="F77" s="31"/>
    </row>
    <row r="78" spans="1:6" ht="12.75" hidden="1">
      <c r="A78" s="32"/>
      <c r="B78" s="33" t="s">
        <v>747</v>
      </c>
      <c r="C78" s="62" t="s">
        <v>748</v>
      </c>
      <c r="D78" s="48">
        <f>'Receita Prefeitura'!G245</f>
        <v>0</v>
      </c>
      <c r="E78" s="30">
        <f>'Receita Prefeitura'!H245</f>
        <v>0</v>
      </c>
      <c r="F78" s="31">
        <f>'Receita Prefeitura'!I245</f>
        <v>0</v>
      </c>
    </row>
    <row r="79" spans="1:6" ht="12.75" hidden="1">
      <c r="A79" s="32" t="s">
        <v>439</v>
      </c>
      <c r="B79" s="33" t="s">
        <v>749</v>
      </c>
      <c r="C79" s="62" t="str">
        <f>'Receita Prefeitura'!C246</f>
        <v>UNIDADES BÁSICAS DE SAUDE - UBS</v>
      </c>
      <c r="D79" s="48">
        <f>'Receita Prefeitura'!G246</f>
        <v>0</v>
      </c>
      <c r="E79" s="30">
        <f>'Receita Prefeitura'!H246</f>
        <v>0</v>
      </c>
      <c r="F79" s="31">
        <f>'Receita Prefeitura'!I246</f>
        <v>0</v>
      </c>
    </row>
    <row r="80" spans="1:6" ht="12.75" hidden="1">
      <c r="A80" s="32"/>
      <c r="B80" s="33"/>
      <c r="C80" s="62"/>
      <c r="D80" s="30"/>
      <c r="E80" s="30"/>
      <c r="F80" s="31"/>
    </row>
    <row r="81" spans="1:6" ht="12.75">
      <c r="A81" s="32"/>
      <c r="B81" s="33" t="s">
        <v>411</v>
      </c>
      <c r="C81" s="62" t="s">
        <v>508</v>
      </c>
      <c r="D81" s="48">
        <f>SUM(D82:D83)</f>
        <v>0</v>
      </c>
      <c r="E81" s="48">
        <f>SUM(E82:E83)</f>
        <v>0</v>
      </c>
      <c r="F81" s="31">
        <f>SUM(F82:F83)</f>
        <v>0</v>
      </c>
    </row>
    <row r="82" spans="1:6" ht="12.75">
      <c r="A82" s="32" t="s">
        <v>439</v>
      </c>
      <c r="B82" s="33" t="s">
        <v>842</v>
      </c>
      <c r="C82" s="62" t="s">
        <v>698</v>
      </c>
      <c r="D82" s="48">
        <f>'Receita Prefeitura'!G249</f>
        <v>0</v>
      </c>
      <c r="E82" s="48">
        <f>'Receita Prefeitura'!H249</f>
        <v>0</v>
      </c>
      <c r="F82" s="31">
        <f>'Receita Prefeitura'!I249</f>
        <v>0</v>
      </c>
    </row>
    <row r="83" spans="1:6" ht="12.75">
      <c r="A83" s="32" t="s">
        <v>439</v>
      </c>
      <c r="B83" s="33" t="s">
        <v>676</v>
      </c>
      <c r="C83" s="62" t="s">
        <v>675</v>
      </c>
      <c r="D83" s="48">
        <f>'Receita Prefeitura'!G250</f>
        <v>0</v>
      </c>
      <c r="E83" s="48">
        <f>'Receita Prefeitura'!H250</f>
        <v>0</v>
      </c>
      <c r="F83" s="31">
        <f>'Receita Prefeitura'!I250</f>
        <v>0</v>
      </c>
    </row>
    <row r="84" spans="1:6" ht="12.75">
      <c r="A84" s="61"/>
      <c r="B84" s="33"/>
      <c r="C84" s="62"/>
      <c r="D84" s="48"/>
      <c r="E84" s="30"/>
      <c r="F84" s="31"/>
    </row>
    <row r="85" spans="1:6" ht="12.75">
      <c r="A85" s="61"/>
      <c r="B85" s="33" t="s">
        <v>117</v>
      </c>
      <c r="C85" s="62" t="s">
        <v>116</v>
      </c>
      <c r="D85" s="48">
        <f>D86</f>
        <v>104092.5</v>
      </c>
      <c r="E85" s="30">
        <f>E86</f>
        <v>62000</v>
      </c>
      <c r="F85" s="31">
        <f>F86</f>
        <v>230000</v>
      </c>
    </row>
    <row r="86" spans="1:6" ht="12.75">
      <c r="A86" s="32" t="s">
        <v>439</v>
      </c>
      <c r="B86" s="33" t="s">
        <v>401</v>
      </c>
      <c r="C86" s="62" t="s">
        <v>341</v>
      </c>
      <c r="D86" s="48">
        <f>'Receita Prefeitura'!G295</f>
        <v>104092.5</v>
      </c>
      <c r="E86" s="30">
        <f>'Receita Prefeitura'!H295</f>
        <v>62000</v>
      </c>
      <c r="F86" s="31">
        <f>'Receita Prefeitura'!I295</f>
        <v>230000</v>
      </c>
    </row>
    <row r="87" spans="1:6" ht="12.75">
      <c r="A87" s="32"/>
      <c r="B87" s="33"/>
      <c r="C87" s="62"/>
      <c r="D87" s="30"/>
      <c r="E87" s="30"/>
      <c r="F87" s="31"/>
    </row>
    <row r="88" spans="1:6" ht="12.75">
      <c r="A88" s="61"/>
      <c r="B88" s="33" t="s">
        <v>123</v>
      </c>
      <c r="C88" s="62" t="s">
        <v>344</v>
      </c>
      <c r="D88" s="30">
        <f>D89+D92</f>
        <v>0</v>
      </c>
      <c r="E88" s="30">
        <f>E89+E92</f>
        <v>0</v>
      </c>
      <c r="F88" s="31">
        <f>F89+F92</f>
        <v>0</v>
      </c>
    </row>
    <row r="89" spans="1:6" ht="12.75">
      <c r="A89" s="61"/>
      <c r="B89" s="33" t="s">
        <v>124</v>
      </c>
      <c r="C89" s="62" t="s">
        <v>345</v>
      </c>
      <c r="D89" s="30">
        <f>D90</f>
        <v>0</v>
      </c>
      <c r="E89" s="30">
        <f>E90</f>
        <v>0</v>
      </c>
      <c r="F89" s="31">
        <f>F90</f>
        <v>0</v>
      </c>
    </row>
    <row r="90" spans="1:6" ht="12.75">
      <c r="A90" s="32" t="s">
        <v>439</v>
      </c>
      <c r="B90" s="33" t="s">
        <v>125</v>
      </c>
      <c r="C90" s="62" t="s">
        <v>467</v>
      </c>
      <c r="D90" s="30">
        <f>'Receita Prefeitura'!G312</f>
        <v>0</v>
      </c>
      <c r="E90" s="30">
        <f>'Receita Prefeitura'!H312</f>
        <v>0</v>
      </c>
      <c r="F90" s="31">
        <f>'Receita Prefeitura'!I312</f>
        <v>0</v>
      </c>
    </row>
    <row r="91" spans="1:6" ht="12.75">
      <c r="A91" s="61"/>
      <c r="B91" s="33"/>
      <c r="C91" s="62"/>
      <c r="D91" s="62"/>
      <c r="E91" s="62"/>
      <c r="F91" s="34"/>
    </row>
    <row r="92" spans="1:6" ht="12.75">
      <c r="A92" s="61"/>
      <c r="B92" s="33" t="s">
        <v>128</v>
      </c>
      <c r="C92" s="62" t="s">
        <v>348</v>
      </c>
      <c r="D92" s="30">
        <f>D93</f>
        <v>0</v>
      </c>
      <c r="E92" s="30">
        <f>E93</f>
        <v>0</v>
      </c>
      <c r="F92" s="31">
        <f>F93</f>
        <v>0</v>
      </c>
    </row>
    <row r="93" spans="1:6" ht="12.75">
      <c r="A93" s="32" t="s">
        <v>439</v>
      </c>
      <c r="B93" s="33" t="s">
        <v>157</v>
      </c>
      <c r="C93" s="62" t="s">
        <v>349</v>
      </c>
      <c r="D93" s="30">
        <f>'Receita Prefeitura'!G320</f>
        <v>0</v>
      </c>
      <c r="E93" s="30">
        <f>'Receita Prefeitura'!H320</f>
        <v>0</v>
      </c>
      <c r="F93" s="31">
        <f>'Receita Prefeitura'!I320</f>
        <v>0</v>
      </c>
    </row>
    <row r="94" spans="1:6" ht="12.75">
      <c r="A94" s="61"/>
      <c r="B94" s="33"/>
      <c r="C94" s="62"/>
      <c r="D94" s="62"/>
      <c r="E94" s="62"/>
      <c r="F94" s="34"/>
    </row>
    <row r="95" spans="1:6" ht="12.75">
      <c r="A95" s="61"/>
      <c r="B95" s="33" t="s">
        <v>130</v>
      </c>
      <c r="C95" s="62" t="s">
        <v>354</v>
      </c>
      <c r="D95" s="30">
        <f>D96</f>
        <v>4500</v>
      </c>
      <c r="E95" s="30">
        <f aca="true" t="shared" si="3" ref="E95:F98">E96</f>
        <v>0</v>
      </c>
      <c r="F95" s="31">
        <f t="shared" si="3"/>
        <v>0</v>
      </c>
    </row>
    <row r="96" spans="1:6" ht="12.75">
      <c r="A96" s="61"/>
      <c r="B96" s="33" t="s">
        <v>135</v>
      </c>
      <c r="C96" s="62" t="s">
        <v>368</v>
      </c>
      <c r="D96" s="30">
        <f aca="true" t="shared" si="4" ref="D96:D101">D97</f>
        <v>4500</v>
      </c>
      <c r="E96" s="30">
        <f t="shared" si="3"/>
        <v>0</v>
      </c>
      <c r="F96" s="31">
        <f t="shared" si="3"/>
        <v>0</v>
      </c>
    </row>
    <row r="97" spans="1:6" ht="12.75">
      <c r="A97" s="61"/>
      <c r="B97" s="232" t="s">
        <v>136</v>
      </c>
      <c r="C97" s="521" t="s">
        <v>369</v>
      </c>
      <c r="D97" s="30">
        <f t="shared" si="4"/>
        <v>4500</v>
      </c>
      <c r="E97" s="30">
        <f t="shared" si="3"/>
        <v>0</v>
      </c>
      <c r="F97" s="31">
        <f t="shared" si="3"/>
        <v>0</v>
      </c>
    </row>
    <row r="98" spans="1:6" ht="12.75">
      <c r="A98" s="61"/>
      <c r="B98" s="232" t="s">
        <v>172</v>
      </c>
      <c r="C98" s="521" t="s">
        <v>370</v>
      </c>
      <c r="D98" s="30">
        <f t="shared" si="4"/>
        <v>4500</v>
      </c>
      <c r="E98" s="30">
        <f t="shared" si="3"/>
        <v>0</v>
      </c>
      <c r="F98" s="31">
        <f t="shared" si="3"/>
        <v>0</v>
      </c>
    </row>
    <row r="99" spans="1:6" ht="12.75">
      <c r="A99" s="32" t="s">
        <v>439</v>
      </c>
      <c r="B99" s="33" t="s">
        <v>940</v>
      </c>
      <c r="C99" s="62" t="s">
        <v>946</v>
      </c>
      <c r="D99" s="30">
        <f t="shared" si="4"/>
        <v>4500</v>
      </c>
      <c r="E99" s="30">
        <f>'Receita Prefeitura'!H376</f>
        <v>0</v>
      </c>
      <c r="F99" s="31">
        <f>'Receita Prefeitura'!I376</f>
        <v>0</v>
      </c>
    </row>
    <row r="100" spans="1:6" ht="12.75">
      <c r="A100" s="61"/>
      <c r="B100" s="33"/>
      <c r="C100" s="62"/>
      <c r="D100" s="30">
        <f t="shared" si="4"/>
        <v>4500</v>
      </c>
      <c r="E100" s="30"/>
      <c r="F100" s="31"/>
    </row>
    <row r="101" spans="1:6" ht="12.75">
      <c r="A101" s="61"/>
      <c r="B101" s="33" t="s">
        <v>137</v>
      </c>
      <c r="C101" s="62" t="s">
        <v>371</v>
      </c>
      <c r="D101" s="30">
        <f t="shared" si="4"/>
        <v>4500</v>
      </c>
      <c r="E101" s="30">
        <f>E102</f>
        <v>0</v>
      </c>
      <c r="F101" s="31">
        <f>F102</f>
        <v>0</v>
      </c>
    </row>
    <row r="102" spans="1:6" ht="12.75">
      <c r="A102" s="32" t="s">
        <v>439</v>
      </c>
      <c r="B102" s="33" t="s">
        <v>565</v>
      </c>
      <c r="C102" s="62" t="s">
        <v>570</v>
      </c>
      <c r="D102" s="30">
        <f>'Receita Prefeitura'!G388</f>
        <v>4500</v>
      </c>
      <c r="E102" s="30">
        <f>'Receita Prefeitura'!H388</f>
        <v>0</v>
      </c>
      <c r="F102" s="31">
        <f>'Receita Prefeitura'!I388</f>
        <v>0</v>
      </c>
    </row>
    <row r="103" spans="1:6" ht="12.75">
      <c r="A103" s="61"/>
      <c r="B103" s="33"/>
      <c r="C103" s="62"/>
      <c r="D103" s="62"/>
      <c r="E103" s="62"/>
      <c r="F103" s="34"/>
    </row>
    <row r="104" spans="1:6" ht="12.75">
      <c r="A104" s="61"/>
      <c r="B104" s="33" t="s">
        <v>141</v>
      </c>
      <c r="C104" s="62" t="s">
        <v>233</v>
      </c>
      <c r="D104" s="30">
        <f>D110+D105</f>
        <v>21000</v>
      </c>
      <c r="E104" s="30">
        <f>E110+E105</f>
        <v>800000</v>
      </c>
      <c r="F104" s="31">
        <f>F110+F105</f>
        <v>524000</v>
      </c>
    </row>
    <row r="105" spans="1:13" s="204" customFormat="1" ht="12.75">
      <c r="A105" s="231"/>
      <c r="B105" s="232" t="s">
        <v>142</v>
      </c>
      <c r="C105" s="236" t="s">
        <v>379</v>
      </c>
      <c r="D105" s="30">
        <f>D106</f>
        <v>0</v>
      </c>
      <c r="E105" s="30">
        <f aca="true" t="shared" si="5" ref="E105:F107">E106</f>
        <v>0</v>
      </c>
      <c r="F105" s="31">
        <f t="shared" si="5"/>
        <v>0</v>
      </c>
      <c r="M105" s="206"/>
    </row>
    <row r="106" spans="1:13" s="204" customFormat="1" ht="12.75">
      <c r="A106" s="231"/>
      <c r="B106" s="232" t="s">
        <v>143</v>
      </c>
      <c r="C106" s="236" t="s">
        <v>380</v>
      </c>
      <c r="D106" s="30">
        <f>D107</f>
        <v>0</v>
      </c>
      <c r="E106" s="30">
        <f t="shared" si="5"/>
        <v>0</v>
      </c>
      <c r="F106" s="31">
        <f t="shared" si="5"/>
        <v>0</v>
      </c>
      <c r="M106" s="206"/>
    </row>
    <row r="107" spans="1:13" s="204" customFormat="1" ht="12.75">
      <c r="A107" s="231"/>
      <c r="B107" s="232" t="s">
        <v>144</v>
      </c>
      <c r="C107" s="236" t="s">
        <v>469</v>
      </c>
      <c r="D107" s="30">
        <f>D108</f>
        <v>0</v>
      </c>
      <c r="E107" s="30">
        <f t="shared" si="5"/>
        <v>0</v>
      </c>
      <c r="F107" s="31">
        <f t="shared" si="5"/>
        <v>0</v>
      </c>
      <c r="M107" s="206"/>
    </row>
    <row r="108" spans="1:13" s="261" customFormat="1" ht="12.75">
      <c r="A108" s="231" t="s">
        <v>439</v>
      </c>
      <c r="B108" s="232" t="s">
        <v>831</v>
      </c>
      <c r="C108" s="236" t="s">
        <v>833</v>
      </c>
      <c r="D108" s="30">
        <f>'Receita Prefeitura'!G421</f>
        <v>0</v>
      </c>
      <c r="E108" s="30">
        <f>'Receita Prefeitura'!H421</f>
        <v>0</v>
      </c>
      <c r="F108" s="31">
        <f>'Receita Prefeitura'!I421</f>
        <v>0</v>
      </c>
      <c r="G108" s="286"/>
      <c r="M108" s="262"/>
    </row>
    <row r="109" spans="1:13" s="261" customFormat="1" ht="12.75">
      <c r="A109" s="231"/>
      <c r="B109" s="232"/>
      <c r="C109" s="236"/>
      <c r="D109" s="30"/>
      <c r="E109" s="30"/>
      <c r="F109" s="31"/>
      <c r="G109" s="286"/>
      <c r="M109" s="262"/>
    </row>
    <row r="110" spans="1:6" ht="12.75">
      <c r="A110" s="61"/>
      <c r="B110" s="33" t="s">
        <v>148</v>
      </c>
      <c r="C110" s="62" t="s">
        <v>385</v>
      </c>
      <c r="D110" s="30">
        <f>D111+D118</f>
        <v>21000</v>
      </c>
      <c r="E110" s="30">
        <f>E111+E118</f>
        <v>800000</v>
      </c>
      <c r="F110" s="31">
        <f>F111+F118</f>
        <v>524000</v>
      </c>
    </row>
    <row r="111" spans="1:6" ht="12.75">
      <c r="A111" s="32"/>
      <c r="B111" s="33" t="s">
        <v>149</v>
      </c>
      <c r="C111" s="62" t="s">
        <v>272</v>
      </c>
      <c r="D111" s="30">
        <f>D112+D115</f>
        <v>21000</v>
      </c>
      <c r="E111" s="30">
        <f>E112+E115</f>
        <v>200000</v>
      </c>
      <c r="F111" s="31">
        <f>F112+F115</f>
        <v>200000</v>
      </c>
    </row>
    <row r="112" spans="1:6" ht="12.75">
      <c r="A112" s="32"/>
      <c r="B112" s="33" t="s">
        <v>150</v>
      </c>
      <c r="C112" s="62" t="s">
        <v>101</v>
      </c>
      <c r="D112" s="30">
        <f>D113</f>
        <v>21000</v>
      </c>
      <c r="E112" s="30">
        <f>E113</f>
        <v>200000</v>
      </c>
      <c r="F112" s="31">
        <f>F113</f>
        <v>200000</v>
      </c>
    </row>
    <row r="113" spans="1:6" ht="12.75">
      <c r="A113" s="32" t="s">
        <v>439</v>
      </c>
      <c r="B113" s="33" t="s">
        <v>181</v>
      </c>
      <c r="C113" s="62" t="s">
        <v>386</v>
      </c>
      <c r="D113" s="30">
        <f>'Receita Prefeitura'!G436</f>
        <v>21000</v>
      </c>
      <c r="E113" s="30">
        <f>'Receita Prefeitura'!H436</f>
        <v>200000</v>
      </c>
      <c r="F113" s="31">
        <f>'Receita Prefeitura'!I436</f>
        <v>200000</v>
      </c>
    </row>
    <row r="114" spans="1:6" ht="12.75">
      <c r="A114" s="61"/>
      <c r="B114" s="33"/>
      <c r="C114" s="62"/>
      <c r="D114" s="30"/>
      <c r="E114" s="30"/>
      <c r="F114" s="31"/>
    </row>
    <row r="115" spans="1:6" ht="12.75">
      <c r="A115" s="32"/>
      <c r="B115" s="33" t="s">
        <v>151</v>
      </c>
      <c r="C115" s="62" t="s">
        <v>116</v>
      </c>
      <c r="D115" s="30">
        <f>D116</f>
        <v>0</v>
      </c>
      <c r="E115" s="30">
        <f>E116</f>
        <v>0</v>
      </c>
      <c r="F115" s="31">
        <f>F116</f>
        <v>0</v>
      </c>
    </row>
    <row r="116" spans="1:6" ht="12.75">
      <c r="A116" s="32" t="s">
        <v>439</v>
      </c>
      <c r="B116" s="33" t="s">
        <v>184</v>
      </c>
      <c r="C116" s="62" t="s">
        <v>386</v>
      </c>
      <c r="D116" s="30">
        <f>'Receita Prefeitura'!G441</f>
        <v>0</v>
      </c>
      <c r="E116" s="30">
        <f>'Receita Prefeitura'!H441</f>
        <v>0</v>
      </c>
      <c r="F116" s="31">
        <f>'Receita Prefeitura'!I441</f>
        <v>0</v>
      </c>
    </row>
    <row r="117" spans="1:6" ht="12.75">
      <c r="A117" s="61"/>
      <c r="B117" s="33"/>
      <c r="C117" s="62"/>
      <c r="D117" s="30"/>
      <c r="E117" s="30"/>
      <c r="F117" s="31"/>
    </row>
    <row r="118" spans="1:6" ht="12.75">
      <c r="A118" s="61"/>
      <c r="B118" s="33" t="s">
        <v>152</v>
      </c>
      <c r="C118" s="62" t="s">
        <v>344</v>
      </c>
      <c r="D118" s="30">
        <f>D119+D122</f>
        <v>0</v>
      </c>
      <c r="E118" s="30">
        <f>E119+E122</f>
        <v>600000</v>
      </c>
      <c r="F118" s="31">
        <f>F119+F122</f>
        <v>324000</v>
      </c>
    </row>
    <row r="119" spans="1:6" ht="12.75">
      <c r="A119" s="61"/>
      <c r="B119" s="33" t="s">
        <v>153</v>
      </c>
      <c r="C119" s="62" t="s">
        <v>389</v>
      </c>
      <c r="D119" s="30">
        <f>D120</f>
        <v>0</v>
      </c>
      <c r="E119" s="30">
        <f>E120</f>
        <v>600000</v>
      </c>
      <c r="F119" s="31">
        <f>F120</f>
        <v>324000</v>
      </c>
    </row>
    <row r="120" spans="1:6" ht="12.75">
      <c r="A120" s="32" t="s">
        <v>439</v>
      </c>
      <c r="B120" s="33" t="s">
        <v>187</v>
      </c>
      <c r="C120" s="62" t="s">
        <v>390</v>
      </c>
      <c r="D120" s="63">
        <f>'Receita Prefeitura'!G448</f>
        <v>0</v>
      </c>
      <c r="E120" s="63">
        <f>'Receita Prefeitura'!H448</f>
        <v>600000</v>
      </c>
      <c r="F120" s="64">
        <f>'Receita Prefeitura'!I448</f>
        <v>324000</v>
      </c>
    </row>
    <row r="121" spans="1:6" ht="12.75">
      <c r="A121" s="61"/>
      <c r="B121" s="33"/>
      <c r="C121" s="62"/>
      <c r="D121" s="62"/>
      <c r="E121" s="62"/>
      <c r="F121" s="34"/>
    </row>
    <row r="122" spans="1:6" ht="12.75">
      <c r="A122" s="32"/>
      <c r="B122" s="33" t="s">
        <v>154</v>
      </c>
      <c r="C122" s="62" t="s">
        <v>400</v>
      </c>
      <c r="D122" s="63">
        <f>D123</f>
        <v>0</v>
      </c>
      <c r="E122" s="63">
        <f>E123</f>
        <v>0</v>
      </c>
      <c r="F122" s="64">
        <f>F123</f>
        <v>0</v>
      </c>
    </row>
    <row r="123" spans="1:6" ht="12.75">
      <c r="A123" s="32" t="s">
        <v>439</v>
      </c>
      <c r="B123" s="33" t="s">
        <v>192</v>
      </c>
      <c r="C123" s="62" t="s">
        <v>393</v>
      </c>
      <c r="D123" s="63">
        <f>'Receita Prefeitura'!G457</f>
        <v>0</v>
      </c>
      <c r="E123" s="63">
        <f>'Receita Prefeitura'!H457</f>
        <v>0</v>
      </c>
      <c r="F123" s="64">
        <f>'Receita Prefeitura'!I457</f>
        <v>0</v>
      </c>
    </row>
    <row r="124" spans="1:6" ht="12.75">
      <c r="A124" s="61"/>
      <c r="B124" s="33"/>
      <c r="C124" s="62"/>
      <c r="D124" s="62"/>
      <c r="E124" s="62"/>
      <c r="F124" s="34"/>
    </row>
    <row r="125" spans="1:6" ht="13.5" thickBot="1">
      <c r="A125" s="65"/>
      <c r="B125" s="66"/>
      <c r="C125" s="67"/>
      <c r="D125" s="67"/>
      <c r="E125" s="67"/>
      <c r="F125" s="68"/>
    </row>
    <row r="126" spans="1:6" ht="14.25" thickBot="1" thickTop="1">
      <c r="A126" s="55"/>
      <c r="B126" s="630" t="s">
        <v>222</v>
      </c>
      <c r="C126" s="631"/>
      <c r="D126" s="56">
        <f>D6+D104</f>
        <v>1996999.8499999999</v>
      </c>
      <c r="E126" s="56">
        <f>E6+E104</f>
        <v>4592000</v>
      </c>
      <c r="F126" s="57">
        <f>F6+F104</f>
        <v>4939000</v>
      </c>
    </row>
  </sheetData>
  <sheetProtection/>
  <mergeCells count="3">
    <mergeCell ref="B126:C126"/>
    <mergeCell ref="A2:F2"/>
    <mergeCell ref="E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&amp;LPrevisão da Receita com Base na Tendência Histórica, Econômica e Inflacionária
Exercício de 2011</oddHeader>
  </headerFooter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P48"/>
  <sheetViews>
    <sheetView zoomScaleSheetLayoutView="100" zoomScalePageLayoutView="0" workbookViewId="0" topLeftCell="A1">
      <pane ySplit="4" topLeftCell="A41" activePane="bottomLeft" state="frozen"/>
      <selection pane="topLeft" activeCell="A1" sqref="A1:H1"/>
      <selection pane="bottomLeft" activeCell="C18" sqref="C18"/>
    </sheetView>
  </sheetViews>
  <sheetFormatPr defaultColWidth="9.140625" defaultRowHeight="12.75"/>
  <cols>
    <col min="1" max="1" width="8.00390625" style="24" bestFit="1" customWidth="1"/>
    <col min="2" max="2" width="13.28125" style="1" customWidth="1"/>
    <col min="3" max="3" width="57.8515625" style="1" bestFit="1" customWidth="1"/>
    <col min="4" max="5" width="15.00390625" style="22" customWidth="1"/>
    <col min="6" max="6" width="16.7109375" style="22" customWidth="1"/>
    <col min="7" max="7" width="11.28125" style="1" bestFit="1" customWidth="1"/>
    <col min="8" max="16384" width="9.140625" style="1" customWidth="1"/>
  </cols>
  <sheetData>
    <row r="1" spans="1:6" ht="13.5" thickBot="1">
      <c r="A1" s="531"/>
      <c r="B1" s="531"/>
      <c r="C1" s="532" t="str">
        <f>RPPS!C1</f>
        <v>PLANILHA DE ESTUDO E ESTIMATIVA DE RECEITA - EXERCÍCIO DE</v>
      </c>
      <c r="D1" s="533">
        <f>RPPS!D1</f>
        <v>2012</v>
      </c>
      <c r="E1" s="637" t="s">
        <v>1029</v>
      </c>
      <c r="F1" s="638"/>
    </row>
    <row r="2" spans="1:6" ht="12.75">
      <c r="A2" s="632" t="str">
        <f>'Receita Prefeitura'!A2:I2</f>
        <v>MUNICÍPIO DE CHÃ GRANDE</v>
      </c>
      <c r="B2" s="632"/>
      <c r="C2" s="632"/>
      <c r="D2" s="632"/>
      <c r="E2" s="632"/>
      <c r="F2" s="632"/>
    </row>
    <row r="3" ht="13.5" thickBot="1"/>
    <row r="4" spans="1:6" ht="60" customHeight="1" thickBot="1">
      <c r="A4" s="58" t="s">
        <v>443</v>
      </c>
      <c r="B4" s="5" t="s">
        <v>198</v>
      </c>
      <c r="C4" s="6" t="s">
        <v>199</v>
      </c>
      <c r="D4" s="7" t="str">
        <f>'Receita Prefeitura'!G4:G4</f>
        <v>Receita Arrecadada no 1º Semestre de 2011</v>
      </c>
      <c r="E4" s="8" t="str">
        <f>'Receita Prefeitura'!H4:H5</f>
        <v>Receita Projetada para 2011</v>
      </c>
      <c r="F4" s="9" t="str">
        <f>'Receita Prefeitura'!I4:I5</f>
        <v>Previsão da Receita para 2012 (LDO)</v>
      </c>
    </row>
    <row r="5" spans="1:6" ht="12.75">
      <c r="A5" s="69"/>
      <c r="B5" s="25"/>
      <c r="C5" s="70"/>
      <c r="D5" s="27"/>
      <c r="E5" s="11"/>
      <c r="F5" s="12"/>
    </row>
    <row r="6" spans="1:6" ht="12.75">
      <c r="A6" s="18"/>
      <c r="B6" s="28" t="s">
        <v>0</v>
      </c>
      <c r="C6" s="76" t="s">
        <v>231</v>
      </c>
      <c r="D6" s="29">
        <f>D7+D12+D39</f>
        <v>449132.32</v>
      </c>
      <c r="E6" s="30">
        <f>E7+E12+E39</f>
        <v>1051000</v>
      </c>
      <c r="F6" s="31">
        <f>F7+F12+F39</f>
        <v>1203000</v>
      </c>
    </row>
    <row r="7" spans="1:6" ht="12.75">
      <c r="A7" s="77"/>
      <c r="B7" s="33" t="s">
        <v>43</v>
      </c>
      <c r="C7" s="78" t="s">
        <v>42</v>
      </c>
      <c r="D7" s="29">
        <f>D8</f>
        <v>1499.12</v>
      </c>
      <c r="E7" s="30">
        <f aca="true" t="shared" si="0" ref="E7:F9">E8</f>
        <v>1000</v>
      </c>
      <c r="F7" s="31">
        <f t="shared" si="0"/>
        <v>2000</v>
      </c>
    </row>
    <row r="8" spans="1:6" ht="12.75">
      <c r="A8" s="77"/>
      <c r="B8" s="33" t="s">
        <v>52</v>
      </c>
      <c r="C8" s="78" t="s">
        <v>262</v>
      </c>
      <c r="D8" s="29">
        <f>D9</f>
        <v>1499.12</v>
      </c>
      <c r="E8" s="30">
        <f t="shared" si="0"/>
        <v>1000</v>
      </c>
      <c r="F8" s="31">
        <f t="shared" si="0"/>
        <v>2000</v>
      </c>
    </row>
    <row r="9" spans="1:6" ht="12.75">
      <c r="A9" s="77"/>
      <c r="B9" s="33" t="s">
        <v>56</v>
      </c>
      <c r="C9" s="78" t="s">
        <v>300</v>
      </c>
      <c r="D9" s="29">
        <f>D10</f>
        <v>1499.12</v>
      </c>
      <c r="E9" s="30">
        <f t="shared" si="0"/>
        <v>1000</v>
      </c>
      <c r="F9" s="31">
        <f t="shared" si="0"/>
        <v>2000</v>
      </c>
    </row>
    <row r="10" spans="1:6" ht="12.75">
      <c r="A10" s="32" t="s">
        <v>438</v>
      </c>
      <c r="B10" s="33" t="s">
        <v>490</v>
      </c>
      <c r="C10" s="78" t="s">
        <v>482</v>
      </c>
      <c r="D10" s="29">
        <f>'Receita Prefeitura'!G114</f>
        <v>1499.12</v>
      </c>
      <c r="E10" s="30">
        <f>'Receita Prefeitura'!H114</f>
        <v>1000</v>
      </c>
      <c r="F10" s="31">
        <f>'Receita Prefeitura'!I114</f>
        <v>2000</v>
      </c>
    </row>
    <row r="11" spans="1:6" ht="12.75">
      <c r="A11" s="77"/>
      <c r="B11" s="33"/>
      <c r="C11" s="78"/>
      <c r="D11" s="29"/>
      <c r="E11" s="30"/>
      <c r="F11" s="31"/>
    </row>
    <row r="12" spans="1:6" ht="12.75">
      <c r="A12" s="77"/>
      <c r="B12" s="33" t="s">
        <v>99</v>
      </c>
      <c r="C12" s="78" t="s">
        <v>98</v>
      </c>
      <c r="D12" s="29">
        <f>D13+D31</f>
        <v>447633.2</v>
      </c>
      <c r="E12" s="30">
        <f>E13+E31</f>
        <v>1050000</v>
      </c>
      <c r="F12" s="31">
        <f>F13+F31</f>
        <v>1201000</v>
      </c>
    </row>
    <row r="13" spans="1:7" ht="12.75">
      <c r="A13" s="77"/>
      <c r="B13" s="33" t="s">
        <v>100</v>
      </c>
      <c r="C13" s="78" t="s">
        <v>272</v>
      </c>
      <c r="D13" s="29">
        <f>D14+D27</f>
        <v>447633.2</v>
      </c>
      <c r="E13" s="30">
        <f>E14+E27</f>
        <v>1050000</v>
      </c>
      <c r="F13" s="31">
        <f>F14+F27</f>
        <v>1201000</v>
      </c>
      <c r="G13" s="112"/>
    </row>
    <row r="14" spans="1:7" ht="12.75">
      <c r="A14" s="32"/>
      <c r="B14" s="33" t="s">
        <v>102</v>
      </c>
      <c r="C14" s="78" t="s">
        <v>101</v>
      </c>
      <c r="D14" s="29">
        <f>D15</f>
        <v>447633.2</v>
      </c>
      <c r="E14" s="30">
        <f>E15</f>
        <v>1050000</v>
      </c>
      <c r="F14" s="31">
        <f>F15</f>
        <v>1201000</v>
      </c>
      <c r="G14" s="112"/>
    </row>
    <row r="15" spans="1:6" ht="12.75">
      <c r="A15" s="32"/>
      <c r="B15" s="33" t="s">
        <v>412</v>
      </c>
      <c r="C15" s="34" t="s">
        <v>414</v>
      </c>
      <c r="D15" s="29">
        <f>'Receita Prefeitura'!G252</f>
        <v>447633.2</v>
      </c>
      <c r="E15" s="30">
        <f>'Receita Prefeitura'!H252</f>
        <v>1050000</v>
      </c>
      <c r="F15" s="31">
        <f>'Receita Prefeitura'!I252</f>
        <v>1201000</v>
      </c>
    </row>
    <row r="16" spans="1:6" ht="12.75">
      <c r="A16" s="32" t="s">
        <v>438</v>
      </c>
      <c r="B16" s="33" t="str">
        <f>'Receita Prefeitura'!B253</f>
        <v>1721.34.01.00</v>
      </c>
      <c r="C16" s="396" t="str">
        <f>'Receita Prefeitura'!C253</f>
        <v>PAIF - PROGRAMA DE ATENÇÃO INTEGRAL À FAMÍLIA</v>
      </c>
      <c r="D16" s="29">
        <f>'Receita Prefeitura'!G253</f>
        <v>94500</v>
      </c>
      <c r="E16" s="30">
        <f>'Receita Prefeitura'!H253</f>
        <v>190000</v>
      </c>
      <c r="F16" s="31">
        <f>'Receita Prefeitura'!I253</f>
        <v>162000</v>
      </c>
    </row>
    <row r="17" spans="1:6" ht="12.75">
      <c r="A17" s="32" t="s">
        <v>438</v>
      </c>
      <c r="B17" s="33" t="str">
        <f>'Receita Prefeitura'!B254</f>
        <v>1721.34.02.00</v>
      </c>
      <c r="C17" s="396" t="str">
        <f>'Receita Prefeitura'!C254</f>
        <v>PROTEÇÃO SOCIAL BÁSICA PARA CRIANÇA E IDOSO</v>
      </c>
      <c r="D17" s="29">
        <f>'Receita Prefeitura'!G254</f>
        <v>9877.74</v>
      </c>
      <c r="E17" s="30">
        <f>'Receita Prefeitura'!H254</f>
        <v>50000</v>
      </c>
      <c r="F17" s="31">
        <f>'Receita Prefeitura'!I254</f>
        <v>57000</v>
      </c>
    </row>
    <row r="18" spans="1:6" ht="12.75">
      <c r="A18" s="32" t="s">
        <v>438</v>
      </c>
      <c r="B18" s="33" t="str">
        <f>'Receita Prefeitura'!B255</f>
        <v>1721.34.03.00</v>
      </c>
      <c r="C18" s="396" t="str">
        <f>'Receita Prefeitura'!C255</f>
        <v>CREAS - CENTROS DE REF. ESPECIALIZADOS DE ASSIST. SOCIAL</v>
      </c>
      <c r="D18" s="29">
        <f>'Receita Prefeitura'!G255</f>
        <v>0</v>
      </c>
      <c r="E18" s="30">
        <f>'Receita Prefeitura'!H255</f>
        <v>0</v>
      </c>
      <c r="F18" s="31">
        <f>'Receita Prefeitura'!I255</f>
        <v>55000</v>
      </c>
    </row>
    <row r="19" spans="1:7" ht="12.75">
      <c r="A19" s="32" t="s">
        <v>438</v>
      </c>
      <c r="B19" s="33" t="str">
        <f>'Receita Prefeitura'!B256</f>
        <v>1721.34.04.00</v>
      </c>
      <c r="C19" s="396" t="str">
        <f>'Receita Prefeitura'!C256</f>
        <v>PROJOVEM</v>
      </c>
      <c r="D19" s="29">
        <f>'Receita Prefeitura'!G256</f>
        <v>61556.25</v>
      </c>
      <c r="E19" s="30">
        <f>'Receita Prefeitura'!H256</f>
        <v>50000</v>
      </c>
      <c r="F19" s="31">
        <f>'Receita Prefeitura'!I256</f>
        <v>140000</v>
      </c>
      <c r="G19" s="13"/>
    </row>
    <row r="20" spans="1:6" ht="12.75">
      <c r="A20" s="32" t="s">
        <v>438</v>
      </c>
      <c r="B20" s="33" t="str">
        <f>'Receita Prefeitura'!B257</f>
        <v>1721.34.05.00</v>
      </c>
      <c r="C20" s="396" t="str">
        <f>'Receita Prefeitura'!C257</f>
        <v>PPD - PROGRAMA PORTADOR DE DEFICIÊNCIA</v>
      </c>
      <c r="D20" s="29">
        <f>'Receita Prefeitura'!G257</f>
        <v>0</v>
      </c>
      <c r="E20" s="30">
        <f>'Receita Prefeitura'!H257</f>
        <v>40000</v>
      </c>
      <c r="F20" s="31">
        <f>'Receita Prefeitura'!I257</f>
        <v>46000</v>
      </c>
    </row>
    <row r="21" spans="1:6" ht="12.75">
      <c r="A21" s="32" t="s">
        <v>438</v>
      </c>
      <c r="B21" s="33" t="str">
        <f>'Receita Prefeitura'!B258</f>
        <v>1721.34.06.00</v>
      </c>
      <c r="C21" s="396" t="str">
        <f>'Receita Prefeitura'!C258</f>
        <v>SENTINELA - COMBATE ABUSO EXPLOR. SEXUAL CRIANÇAS ADOLESCENTES</v>
      </c>
      <c r="D21" s="29">
        <f>'Receita Prefeitura'!G258</f>
        <v>0</v>
      </c>
      <c r="E21" s="30">
        <f>'Receita Prefeitura'!H258</f>
        <v>0</v>
      </c>
      <c r="F21" s="31">
        <f>'Receita Prefeitura'!I258</f>
        <v>0</v>
      </c>
    </row>
    <row r="22" spans="1:7" ht="12.75">
      <c r="A22" s="32" t="s">
        <v>438</v>
      </c>
      <c r="B22" s="33" t="str">
        <f>'Receita Prefeitura'!B259</f>
        <v>1721.34.07.00</v>
      </c>
      <c r="C22" s="396" t="str">
        <f>'Receita Prefeitura'!C259</f>
        <v>PETI - PROGRAMA DE ERRADICAÇÃO DO TRABALHO INFANTIL</v>
      </c>
      <c r="D22" s="29">
        <f>'Receita Prefeitura'!G259</f>
        <v>252000</v>
      </c>
      <c r="E22" s="30">
        <f>'Receita Prefeitura'!H259</f>
        <v>640000</v>
      </c>
      <c r="F22" s="31">
        <f>'Receita Prefeitura'!I259</f>
        <v>649000</v>
      </c>
      <c r="G22" s="13"/>
    </row>
    <row r="23" spans="1:7" ht="12.75">
      <c r="A23" s="32" t="s">
        <v>438</v>
      </c>
      <c r="B23" s="33" t="str">
        <f>'Receita Prefeitura'!B260</f>
        <v>1721.34.08.00</v>
      </c>
      <c r="C23" s="396" t="str">
        <f>'Receita Prefeitura'!C260</f>
        <v>IGD - ÍNDICE DE GESTÃO DESCENTRALIZADA</v>
      </c>
      <c r="D23" s="29">
        <f>'Receita Prefeitura'!G260</f>
        <v>25199.21</v>
      </c>
      <c r="E23" s="30">
        <f>'Receita Prefeitura'!H260</f>
        <v>80000</v>
      </c>
      <c r="F23" s="31">
        <f>'Receita Prefeitura'!I260</f>
        <v>92000</v>
      </c>
      <c r="G23" s="13"/>
    </row>
    <row r="24" spans="1:6" ht="12.75">
      <c r="A24" s="32" t="s">
        <v>438</v>
      </c>
      <c r="B24" s="33" t="str">
        <f>'Receita Prefeitura'!B261</f>
        <v>1721.34.09.00</v>
      </c>
      <c r="C24" s="396" t="str">
        <f>'Receita Prefeitura'!C261</f>
        <v>CRAS - CENTRO DE REF. DE ASSISTÊNCIA SOCIAL</v>
      </c>
      <c r="D24" s="29">
        <f>'Receita Prefeitura'!G261</f>
        <v>4500</v>
      </c>
      <c r="E24" s="30">
        <f>'Receita Prefeitura'!H261</f>
        <v>0</v>
      </c>
      <c r="F24" s="31">
        <f>'Receita Prefeitura'!I261</f>
        <v>0</v>
      </c>
    </row>
    <row r="25" spans="1:6" ht="12.75">
      <c r="A25" s="32" t="s">
        <v>438</v>
      </c>
      <c r="B25" s="33" t="str">
        <f>'Receita Prefeitura'!B262</f>
        <v>1721.34.99.00</v>
      </c>
      <c r="C25" s="396" t="str">
        <f>'Receita Prefeitura'!C262</f>
        <v>OUTRAS TRANSFERÊNCIAS DO FUNDO NACIONAL DE ASSIST. SOCIAL</v>
      </c>
      <c r="D25" s="29">
        <f>'Receita Prefeitura'!G262</f>
        <v>0</v>
      </c>
      <c r="E25" s="30">
        <f>'Receita Prefeitura'!H262</f>
        <v>0</v>
      </c>
      <c r="F25" s="31">
        <f>'Receita Prefeitura'!I262</f>
        <v>0</v>
      </c>
    </row>
    <row r="26" spans="1:7" ht="13.5" customHeight="1">
      <c r="A26" s="32"/>
      <c r="B26" s="62"/>
      <c r="C26" s="396"/>
      <c r="D26" s="29"/>
      <c r="E26" s="30"/>
      <c r="F26" s="31"/>
      <c r="G26" s="112"/>
    </row>
    <row r="27" spans="1:16" s="204" customFormat="1" ht="12.75">
      <c r="A27" s="231"/>
      <c r="B27" s="232" t="s">
        <v>117</v>
      </c>
      <c r="C27" s="233" t="s">
        <v>116</v>
      </c>
      <c r="D27" s="228">
        <f aca="true" t="shared" si="1" ref="D27:F28">D28</f>
        <v>0</v>
      </c>
      <c r="E27" s="229">
        <f t="shared" si="1"/>
        <v>0</v>
      </c>
      <c r="F27" s="230">
        <f t="shared" si="1"/>
        <v>0</v>
      </c>
      <c r="P27" s="206"/>
    </row>
    <row r="28" spans="1:16" s="204" customFormat="1" ht="12.75">
      <c r="A28" s="231"/>
      <c r="B28" s="232" t="s">
        <v>402</v>
      </c>
      <c r="C28" s="233" t="s">
        <v>340</v>
      </c>
      <c r="D28" s="228">
        <f t="shared" si="1"/>
        <v>0</v>
      </c>
      <c r="E28" s="229">
        <f t="shared" si="1"/>
        <v>0</v>
      </c>
      <c r="F28" s="230">
        <f t="shared" si="1"/>
        <v>0</v>
      </c>
      <c r="J28" s="240"/>
      <c r="P28" s="206"/>
    </row>
    <row r="29" spans="1:16" s="261" customFormat="1" ht="12.75">
      <c r="A29" s="231" t="s">
        <v>441</v>
      </c>
      <c r="B29" s="232" t="s">
        <v>847</v>
      </c>
      <c r="C29" s="233" t="s">
        <v>849</v>
      </c>
      <c r="D29" s="368">
        <f>'Receita Prefeitura'!G298</f>
        <v>0</v>
      </c>
      <c r="E29" s="369">
        <f>'Receita Prefeitura'!H298</f>
        <v>0</v>
      </c>
      <c r="F29" s="47">
        <f>'Receita Prefeitura'!I298</f>
        <v>0</v>
      </c>
      <c r="J29" s="286"/>
      <c r="P29" s="262"/>
    </row>
    <row r="30" spans="1:16" s="261" customFormat="1" ht="12.75">
      <c r="A30" s="231"/>
      <c r="B30" s="232"/>
      <c r="C30" s="236"/>
      <c r="D30" s="368"/>
      <c r="E30" s="229"/>
      <c r="F30" s="47"/>
      <c r="J30" s="286"/>
      <c r="P30" s="262"/>
    </row>
    <row r="31" spans="1:7" ht="12.75">
      <c r="A31" s="77"/>
      <c r="B31" s="33" t="s">
        <v>123</v>
      </c>
      <c r="C31" s="78" t="s">
        <v>344</v>
      </c>
      <c r="D31" s="29">
        <f>D32+D35</f>
        <v>0</v>
      </c>
      <c r="E31" s="30">
        <f>E32+E35</f>
        <v>0</v>
      </c>
      <c r="F31" s="31">
        <f>F32+F35</f>
        <v>0</v>
      </c>
      <c r="G31" s="71"/>
    </row>
    <row r="32" spans="1:7" ht="12.75">
      <c r="A32" s="77"/>
      <c r="B32" s="33" t="s">
        <v>124</v>
      </c>
      <c r="C32" s="78" t="s">
        <v>345</v>
      </c>
      <c r="D32" s="29">
        <f>D33</f>
        <v>0</v>
      </c>
      <c r="E32" s="30">
        <f>E33</f>
        <v>0</v>
      </c>
      <c r="F32" s="31">
        <f>F33</f>
        <v>0</v>
      </c>
      <c r="G32" s="71"/>
    </row>
    <row r="33" spans="1:7" ht="12.75">
      <c r="A33" s="32" t="s">
        <v>438</v>
      </c>
      <c r="B33" s="33" t="s">
        <v>127</v>
      </c>
      <c r="C33" s="78" t="s">
        <v>347</v>
      </c>
      <c r="D33" s="29">
        <f>'Receita Prefeitura'!G314</f>
        <v>0</v>
      </c>
      <c r="E33" s="30">
        <f>'Receita Prefeitura'!H314</f>
        <v>0</v>
      </c>
      <c r="F33" s="31">
        <f>'Receita Prefeitura'!I314</f>
        <v>0</v>
      </c>
      <c r="G33" s="79"/>
    </row>
    <row r="34" spans="1:7" ht="12.75">
      <c r="A34" s="77"/>
      <c r="B34" s="33"/>
      <c r="C34" s="78"/>
      <c r="D34" s="29"/>
      <c r="E34" s="30"/>
      <c r="F34" s="31"/>
      <c r="G34" s="71"/>
    </row>
    <row r="35" spans="1:7" ht="12.75">
      <c r="A35" s="77"/>
      <c r="B35" s="33" t="s">
        <v>128</v>
      </c>
      <c r="C35" s="78" t="s">
        <v>348</v>
      </c>
      <c r="D35" s="29">
        <f aca="true" t="shared" si="2" ref="D35:F36">D36</f>
        <v>0</v>
      </c>
      <c r="E35" s="30">
        <f t="shared" si="2"/>
        <v>0</v>
      </c>
      <c r="F35" s="31">
        <f t="shared" si="2"/>
        <v>0</v>
      </c>
      <c r="G35" s="71"/>
    </row>
    <row r="36" spans="1:7" ht="12.75">
      <c r="A36" s="32"/>
      <c r="B36" s="33" t="s">
        <v>159</v>
      </c>
      <c r="C36" s="78" t="s">
        <v>352</v>
      </c>
      <c r="D36" s="29">
        <f t="shared" si="2"/>
        <v>0</v>
      </c>
      <c r="E36" s="30">
        <f t="shared" si="2"/>
        <v>0</v>
      </c>
      <c r="F36" s="31">
        <f t="shared" si="2"/>
        <v>0</v>
      </c>
      <c r="G36" s="72"/>
    </row>
    <row r="37" spans="1:7" ht="12.75">
      <c r="A37" s="32" t="s">
        <v>438</v>
      </c>
      <c r="B37" s="33" t="s">
        <v>626</v>
      </c>
      <c r="C37" s="78" t="s">
        <v>712</v>
      </c>
      <c r="D37" s="29">
        <f>'Receita Prefeitura'!G325</f>
        <v>0</v>
      </c>
      <c r="E37" s="30">
        <f>'Receita Prefeitura'!H325</f>
        <v>0</v>
      </c>
      <c r="F37" s="31">
        <f>'Receita Prefeitura'!I325</f>
        <v>0</v>
      </c>
      <c r="G37" s="79"/>
    </row>
    <row r="38" spans="1:7" ht="12.75">
      <c r="A38" s="77"/>
      <c r="B38" s="33"/>
      <c r="C38" s="78"/>
      <c r="D38" s="61"/>
      <c r="E38" s="62"/>
      <c r="F38" s="34"/>
      <c r="G38" s="71"/>
    </row>
    <row r="39" spans="1:7" ht="12.75">
      <c r="A39" s="77"/>
      <c r="B39" s="33" t="s">
        <v>130</v>
      </c>
      <c r="C39" s="78" t="s">
        <v>354</v>
      </c>
      <c r="D39" s="29">
        <f>D40</f>
        <v>0</v>
      </c>
      <c r="E39" s="30">
        <f>E40</f>
        <v>0</v>
      </c>
      <c r="F39" s="31">
        <f>F40</f>
        <v>0</v>
      </c>
      <c r="G39" s="112"/>
    </row>
    <row r="40" spans="1:7" ht="12.75">
      <c r="A40" s="77"/>
      <c r="B40" s="33" t="s">
        <v>135</v>
      </c>
      <c r="C40" s="78" t="s">
        <v>368</v>
      </c>
      <c r="D40" s="29">
        <f>D41+D45</f>
        <v>0</v>
      </c>
      <c r="E40" s="30">
        <f>E41+E45</f>
        <v>0</v>
      </c>
      <c r="F40" s="31">
        <f>F41+F45</f>
        <v>0</v>
      </c>
      <c r="G40" s="112"/>
    </row>
    <row r="41" spans="1:7" ht="12.75">
      <c r="A41" s="77"/>
      <c r="B41" s="232" t="s">
        <v>136</v>
      </c>
      <c r="C41" s="434" t="s">
        <v>369</v>
      </c>
      <c r="D41" s="29">
        <f aca="true" t="shared" si="3" ref="D41:F42">D42</f>
        <v>0</v>
      </c>
      <c r="E41" s="30">
        <f t="shared" si="3"/>
        <v>0</v>
      </c>
      <c r="F41" s="31">
        <f t="shared" si="3"/>
        <v>0</v>
      </c>
      <c r="G41" s="112"/>
    </row>
    <row r="42" spans="1:7" ht="12.75">
      <c r="A42" s="77"/>
      <c r="B42" s="232" t="s">
        <v>172</v>
      </c>
      <c r="C42" s="434" t="s">
        <v>370</v>
      </c>
      <c r="D42" s="29">
        <f t="shared" si="3"/>
        <v>0</v>
      </c>
      <c r="E42" s="30">
        <f t="shared" si="3"/>
        <v>0</v>
      </c>
      <c r="F42" s="31">
        <f t="shared" si="3"/>
        <v>0</v>
      </c>
      <c r="G42" s="112"/>
    </row>
    <row r="43" spans="1:16" s="204" customFormat="1" ht="12.75">
      <c r="A43" s="231" t="s">
        <v>438</v>
      </c>
      <c r="B43" s="232" t="s">
        <v>941</v>
      </c>
      <c r="C43" s="233" t="s">
        <v>947</v>
      </c>
      <c r="D43" s="368">
        <f>'Receita Prefeitura'!G377</f>
        <v>0</v>
      </c>
      <c r="E43" s="369">
        <f>'Receita Prefeitura'!H377</f>
        <v>0</v>
      </c>
      <c r="F43" s="47">
        <f>'Receita Prefeitura'!I377</f>
        <v>0</v>
      </c>
      <c r="J43" s="240"/>
      <c r="P43" s="206"/>
    </row>
    <row r="44" spans="1:16" s="204" customFormat="1" ht="12.75">
      <c r="A44" s="231"/>
      <c r="B44" s="232"/>
      <c r="C44" s="236"/>
      <c r="D44" s="368"/>
      <c r="E44" s="369"/>
      <c r="F44" s="47"/>
      <c r="J44" s="240"/>
      <c r="P44" s="206"/>
    </row>
    <row r="45" spans="1:7" ht="12.75">
      <c r="A45" s="77"/>
      <c r="B45" s="33" t="s">
        <v>137</v>
      </c>
      <c r="C45" s="78" t="s">
        <v>371</v>
      </c>
      <c r="D45" s="29">
        <f>D46</f>
        <v>0</v>
      </c>
      <c r="E45" s="30">
        <f>E46</f>
        <v>0</v>
      </c>
      <c r="F45" s="31">
        <f>F46</f>
        <v>0</v>
      </c>
      <c r="G45" s="112"/>
    </row>
    <row r="46" spans="1:7" ht="12.75">
      <c r="A46" s="32" t="s">
        <v>438</v>
      </c>
      <c r="B46" s="33" t="s">
        <v>566</v>
      </c>
      <c r="C46" s="78" t="s">
        <v>571</v>
      </c>
      <c r="D46" s="29">
        <f>'Receita Prefeitura'!G389</f>
        <v>0</v>
      </c>
      <c r="E46" s="30">
        <f>'Receita Prefeitura'!H389</f>
        <v>0</v>
      </c>
      <c r="F46" s="31">
        <f>'Receita Prefeitura'!I389</f>
        <v>0</v>
      </c>
      <c r="G46" s="404"/>
    </row>
    <row r="47" spans="1:7" ht="13.5" thickBot="1">
      <c r="A47" s="80"/>
      <c r="B47" s="49"/>
      <c r="C47" s="81"/>
      <c r="D47" s="82"/>
      <c r="E47" s="52"/>
      <c r="F47" s="83"/>
      <c r="G47" s="71"/>
    </row>
    <row r="48" spans="1:6" ht="13.5" thickBot="1">
      <c r="A48" s="73"/>
      <c r="B48" s="635" t="s">
        <v>222</v>
      </c>
      <c r="C48" s="636"/>
      <c r="D48" s="74">
        <f>D6</f>
        <v>449132.32</v>
      </c>
      <c r="E48" s="74">
        <f>E6</f>
        <v>1051000</v>
      </c>
      <c r="F48" s="75">
        <f>F6</f>
        <v>1203000</v>
      </c>
    </row>
  </sheetData>
  <sheetProtection formatCells="0" formatColumns="0" formatRows="0" insertRows="0" deleteRows="0"/>
  <mergeCells count="3">
    <mergeCell ref="B48:C48"/>
    <mergeCell ref="A2:F2"/>
    <mergeCell ref="E1:F1"/>
  </mergeCells>
  <printOptions horizontalCentered="1"/>
  <pageMargins left="0.4724409448818898" right="0.3937007874015748" top="0.6692913385826772" bottom="0.3937007874015748" header="0.2755905511811024" footer="0.5118110236220472"/>
  <pageSetup horizontalDpi="600" verticalDpi="600" orientation="portrait" paperSize="9" scale="76" r:id="rId1"/>
  <headerFooter alignWithMargins="0">
    <oddHeader>&amp;LPrevisão da Receita com Base na Tendência Histórica, Econômica e Inflacionária
Exercício de 2011&amp;R&amp;P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/>
  <dimension ref="A1:F39"/>
  <sheetViews>
    <sheetView zoomScaleSheetLayoutView="100" zoomScalePageLayoutView="0" workbookViewId="0" topLeftCell="A1">
      <pane ySplit="4" topLeftCell="A5" activePane="bottomLeft" state="frozen"/>
      <selection pane="topLeft" activeCell="A1" sqref="A1:H1"/>
      <selection pane="bottomLeft" activeCell="A5" sqref="A5"/>
    </sheetView>
  </sheetViews>
  <sheetFormatPr defaultColWidth="9.140625" defaultRowHeight="12.75"/>
  <cols>
    <col min="1" max="1" width="8.00390625" style="24" bestFit="1" customWidth="1"/>
    <col min="2" max="2" width="12.7109375" style="1" bestFit="1" customWidth="1"/>
    <col min="3" max="3" width="51.28125" style="1" bestFit="1" customWidth="1"/>
    <col min="4" max="6" width="15.00390625" style="22" customWidth="1"/>
    <col min="7" max="16384" width="9.140625" style="1" customWidth="1"/>
  </cols>
  <sheetData>
    <row r="1" spans="1:6" ht="13.5" thickBot="1">
      <c r="A1" s="531"/>
      <c r="B1" s="531"/>
      <c r="C1" s="532" t="str">
        <f>RPPS!C1</f>
        <v>PLANILHA DE ESTUDO E ESTIMATIVA DE RECEITA - EXERCÍCIO DE</v>
      </c>
      <c r="D1" s="533">
        <f>RPPS!D1</f>
        <v>2012</v>
      </c>
      <c r="E1" s="637" t="s">
        <v>1030</v>
      </c>
      <c r="F1" s="638"/>
    </row>
    <row r="2" spans="1:6" ht="12.75">
      <c r="A2" s="632" t="str">
        <f>'Receita Prefeitura'!A2:I2</f>
        <v>MUNICÍPIO DE CHÃ GRANDE</v>
      </c>
      <c r="B2" s="632"/>
      <c r="C2" s="632"/>
      <c r="D2" s="632"/>
      <c r="E2" s="632"/>
      <c r="F2" s="632"/>
    </row>
    <row r="3" ht="13.5" thickBot="1"/>
    <row r="4" spans="1:6" ht="60" customHeight="1" thickBot="1">
      <c r="A4" s="58" t="s">
        <v>443</v>
      </c>
      <c r="B4" s="5" t="s">
        <v>198</v>
      </c>
      <c r="C4" s="6" t="s">
        <v>199</v>
      </c>
      <c r="D4" s="7" t="str">
        <f>'Receita Prefeitura'!G4:G4</f>
        <v>Receita Arrecadada no 1º Semestre de 2011</v>
      </c>
      <c r="E4" s="8" t="str">
        <f>'Receita Prefeitura'!H4:H5</f>
        <v>Receita Projetada para 2011</v>
      </c>
      <c r="F4" s="9" t="str">
        <f>'Receita Prefeitura'!I4:I5</f>
        <v>Previsão da Receita para 2012 (LDO)</v>
      </c>
    </row>
    <row r="5" spans="1:6" ht="12.75">
      <c r="A5" s="69"/>
      <c r="B5" s="25"/>
      <c r="C5" s="26"/>
      <c r="D5" s="84"/>
      <c r="E5" s="85"/>
      <c r="F5" s="12"/>
    </row>
    <row r="6" spans="1:6" ht="12.75">
      <c r="A6" s="18"/>
      <c r="B6" s="28" t="s">
        <v>0</v>
      </c>
      <c r="C6" s="17" t="s">
        <v>231</v>
      </c>
      <c r="D6" s="48">
        <f>D7+D12+D25</f>
        <v>0</v>
      </c>
      <c r="E6" s="48">
        <f>E7+E12+E25</f>
        <v>0</v>
      </c>
      <c r="F6" s="31">
        <f>F7+F12+F25</f>
        <v>0</v>
      </c>
    </row>
    <row r="7" spans="1:6" ht="12.75">
      <c r="A7" s="18"/>
      <c r="B7" s="33" t="s">
        <v>43</v>
      </c>
      <c r="C7" s="34" t="s">
        <v>42</v>
      </c>
      <c r="D7" s="48">
        <f>D8</f>
        <v>0</v>
      </c>
      <c r="E7" s="48">
        <f aca="true" t="shared" si="0" ref="E7:F9">E8</f>
        <v>0</v>
      </c>
      <c r="F7" s="31">
        <f t="shared" si="0"/>
        <v>0</v>
      </c>
    </row>
    <row r="8" spans="1:6" ht="12.75">
      <c r="A8" s="18"/>
      <c r="B8" s="33" t="s">
        <v>56</v>
      </c>
      <c r="C8" s="34" t="s">
        <v>300</v>
      </c>
      <c r="D8" s="48">
        <f>D9</f>
        <v>0</v>
      </c>
      <c r="E8" s="48">
        <f t="shared" si="0"/>
        <v>0</v>
      </c>
      <c r="F8" s="31">
        <f t="shared" si="0"/>
        <v>0</v>
      </c>
    </row>
    <row r="9" spans="1:6" ht="12.75">
      <c r="A9" s="18"/>
      <c r="B9" s="33" t="s">
        <v>491</v>
      </c>
      <c r="C9" s="34" t="s">
        <v>302</v>
      </c>
      <c r="D9" s="48">
        <f>D10</f>
        <v>0</v>
      </c>
      <c r="E9" s="48">
        <f t="shared" si="0"/>
        <v>0</v>
      </c>
      <c r="F9" s="31">
        <f t="shared" si="0"/>
        <v>0</v>
      </c>
    </row>
    <row r="10" spans="1:6" ht="12.75">
      <c r="A10" s="32" t="s">
        <v>434</v>
      </c>
      <c r="B10" s="33" t="s">
        <v>589</v>
      </c>
      <c r="C10" s="34" t="s">
        <v>593</v>
      </c>
      <c r="D10" s="48">
        <f>'Receita Prefeitura'!G117</f>
        <v>0</v>
      </c>
      <c r="E10" s="48">
        <f>'Receita Prefeitura'!H117</f>
        <v>0</v>
      </c>
      <c r="F10" s="31">
        <f>'Receita Prefeitura'!I117</f>
        <v>0</v>
      </c>
    </row>
    <row r="11" spans="1:6" ht="12.75">
      <c r="A11" s="18"/>
      <c r="B11" s="28"/>
      <c r="C11" s="17"/>
      <c r="D11" s="48"/>
      <c r="E11" s="48"/>
      <c r="F11" s="31"/>
    </row>
    <row r="12" spans="1:6" ht="12.75">
      <c r="A12" s="77"/>
      <c r="B12" s="33" t="s">
        <v>99</v>
      </c>
      <c r="C12" s="34" t="s">
        <v>98</v>
      </c>
      <c r="D12" s="48">
        <f>D13+D14+D16</f>
        <v>0</v>
      </c>
      <c r="E12" s="48">
        <f>E13+E14+E16</f>
        <v>0</v>
      </c>
      <c r="F12" s="31">
        <f>F13+F14+F16</f>
        <v>0</v>
      </c>
    </row>
    <row r="13" spans="1:6" ht="12.75">
      <c r="A13" s="32" t="s">
        <v>434</v>
      </c>
      <c r="B13" s="33" t="s">
        <v>435</v>
      </c>
      <c r="C13" s="34" t="s">
        <v>437</v>
      </c>
      <c r="D13" s="48">
        <f>'Receita Prefeitura'!G307</f>
        <v>0</v>
      </c>
      <c r="E13" s="48">
        <f>'Receita Prefeitura'!H307</f>
        <v>0</v>
      </c>
      <c r="F13" s="31">
        <f>'Receita Prefeitura'!I307</f>
        <v>0</v>
      </c>
    </row>
    <row r="14" spans="1:6" ht="12.75">
      <c r="A14" s="32" t="s">
        <v>434</v>
      </c>
      <c r="B14" s="33" t="s">
        <v>427</v>
      </c>
      <c r="C14" s="34" t="s">
        <v>436</v>
      </c>
      <c r="D14" s="48">
        <f>'Receita Prefeitura'!G308</f>
        <v>0</v>
      </c>
      <c r="E14" s="48">
        <f>'Receita Prefeitura'!H308</f>
        <v>0</v>
      </c>
      <c r="F14" s="31">
        <f>'Receita Prefeitura'!I308</f>
        <v>0</v>
      </c>
    </row>
    <row r="15" spans="1:6" ht="12.75">
      <c r="A15" s="77"/>
      <c r="B15" s="33"/>
      <c r="C15" s="34"/>
      <c r="D15" s="48"/>
      <c r="E15" s="86"/>
      <c r="F15" s="31"/>
    </row>
    <row r="16" spans="1:6" ht="12.75">
      <c r="A16" s="77"/>
      <c r="B16" s="33" t="s">
        <v>123</v>
      </c>
      <c r="C16" s="34" t="s">
        <v>344</v>
      </c>
      <c r="D16" s="48">
        <f>D17+D21</f>
        <v>0</v>
      </c>
      <c r="E16" s="191">
        <f>E17+E21</f>
        <v>0</v>
      </c>
      <c r="F16" s="31">
        <f>F17+F21</f>
        <v>0</v>
      </c>
    </row>
    <row r="17" spans="1:6" ht="12.75">
      <c r="A17" s="77"/>
      <c r="B17" s="33" t="s">
        <v>124</v>
      </c>
      <c r="C17" s="34" t="s">
        <v>345</v>
      </c>
      <c r="D17" s="48">
        <f aca="true" t="shared" si="1" ref="D17:F18">D18</f>
        <v>0</v>
      </c>
      <c r="E17" s="191">
        <f t="shared" si="1"/>
        <v>0</v>
      </c>
      <c r="F17" s="31">
        <f t="shared" si="1"/>
        <v>0</v>
      </c>
    </row>
    <row r="18" spans="1:6" ht="12.75">
      <c r="A18" s="32"/>
      <c r="B18" s="33" t="s">
        <v>240</v>
      </c>
      <c r="C18" s="34" t="s">
        <v>241</v>
      </c>
      <c r="D18" s="48">
        <f t="shared" si="1"/>
        <v>0</v>
      </c>
      <c r="E18" s="191">
        <f t="shared" si="1"/>
        <v>0</v>
      </c>
      <c r="F18" s="31">
        <f t="shared" si="1"/>
        <v>0</v>
      </c>
    </row>
    <row r="19" spans="1:6" ht="12.75">
      <c r="A19" s="32" t="s">
        <v>434</v>
      </c>
      <c r="B19" s="33" t="s">
        <v>721</v>
      </c>
      <c r="C19" s="34" t="s">
        <v>724</v>
      </c>
      <c r="D19" s="48">
        <f>'Receita Prefeitura'!G316</f>
        <v>0</v>
      </c>
      <c r="E19" s="191">
        <f>'Receita Prefeitura'!H316</f>
        <v>0</v>
      </c>
      <c r="F19" s="31">
        <f>'Receita Prefeitura'!I316</f>
        <v>0</v>
      </c>
    </row>
    <row r="20" spans="1:6" ht="12.75">
      <c r="A20" s="77"/>
      <c r="B20" s="33"/>
      <c r="C20" s="34"/>
      <c r="D20" s="48"/>
      <c r="E20" s="191"/>
      <c r="F20" s="31"/>
    </row>
    <row r="21" spans="1:6" ht="12.75">
      <c r="A21" s="77"/>
      <c r="B21" s="33" t="s">
        <v>128</v>
      </c>
      <c r="C21" s="34" t="s">
        <v>348</v>
      </c>
      <c r="D21" s="48">
        <f aca="true" t="shared" si="2" ref="D21:F22">D22</f>
        <v>0</v>
      </c>
      <c r="E21" s="191">
        <f t="shared" si="2"/>
        <v>0</v>
      </c>
      <c r="F21" s="31">
        <f t="shared" si="2"/>
        <v>0</v>
      </c>
    </row>
    <row r="22" spans="1:6" ht="12.75">
      <c r="A22" s="77"/>
      <c r="B22" s="33" t="s">
        <v>159</v>
      </c>
      <c r="C22" s="34" t="s">
        <v>352</v>
      </c>
      <c r="D22" s="48">
        <f t="shared" si="2"/>
        <v>0</v>
      </c>
      <c r="E22" s="191">
        <f t="shared" si="2"/>
        <v>0</v>
      </c>
      <c r="F22" s="31">
        <f t="shared" si="2"/>
        <v>0</v>
      </c>
    </row>
    <row r="23" spans="1:6" ht="12.75">
      <c r="A23" s="32" t="s">
        <v>434</v>
      </c>
      <c r="B23" s="33" t="s">
        <v>719</v>
      </c>
      <c r="C23" s="34" t="s">
        <v>720</v>
      </c>
      <c r="D23" s="48">
        <f>'Receita Prefeitura'!G326</f>
        <v>0</v>
      </c>
      <c r="E23" s="191">
        <f>'Receita Prefeitura'!H326</f>
        <v>0</v>
      </c>
      <c r="F23" s="31">
        <f>'Receita Prefeitura'!I326</f>
        <v>0</v>
      </c>
    </row>
    <row r="24" spans="1:6" ht="12.75">
      <c r="A24" s="77"/>
      <c r="B24" s="33"/>
      <c r="C24" s="34"/>
      <c r="D24" s="48"/>
      <c r="E24" s="191"/>
      <c r="F24" s="31"/>
    </row>
    <row r="25" spans="1:6" ht="12.75">
      <c r="A25" s="77"/>
      <c r="B25" s="33" t="s">
        <v>130</v>
      </c>
      <c r="C25" s="34" t="s">
        <v>354</v>
      </c>
      <c r="D25" s="48">
        <f>D26+D34</f>
        <v>0</v>
      </c>
      <c r="E25" s="48">
        <f>E26+E34</f>
        <v>0</v>
      </c>
      <c r="F25" s="31">
        <f>F26+F34</f>
        <v>0</v>
      </c>
    </row>
    <row r="26" spans="1:6" ht="12.75">
      <c r="A26" s="32"/>
      <c r="B26" s="33" t="s">
        <v>134</v>
      </c>
      <c r="C26" s="34" t="s">
        <v>365</v>
      </c>
      <c r="D26" s="48">
        <f>D27</f>
        <v>0</v>
      </c>
      <c r="E26" s="48">
        <f>E27</f>
        <v>0</v>
      </c>
      <c r="F26" s="31">
        <f>F27</f>
        <v>0</v>
      </c>
    </row>
    <row r="27" spans="1:6" ht="12.75">
      <c r="A27" s="32" t="s">
        <v>434</v>
      </c>
      <c r="B27" s="33" t="s">
        <v>587</v>
      </c>
      <c r="C27" s="34" t="s">
        <v>588</v>
      </c>
      <c r="D27" s="48">
        <f>'Receita Prefeitura'!G365</f>
        <v>0</v>
      </c>
      <c r="E27" s="48">
        <f>'Receita Prefeitura'!H365</f>
        <v>0</v>
      </c>
      <c r="F27" s="31">
        <f>'Receita Prefeitura'!I365</f>
        <v>0</v>
      </c>
    </row>
    <row r="28" spans="1:6" ht="12.75">
      <c r="A28" s="77"/>
      <c r="B28" s="33"/>
      <c r="C28" s="34"/>
      <c r="D28" s="48"/>
      <c r="E28" s="86"/>
      <c r="F28" s="31"/>
    </row>
    <row r="29" spans="1:6" ht="12.75">
      <c r="A29" s="77"/>
      <c r="B29" s="232" t="s">
        <v>135</v>
      </c>
      <c r="C29" s="434" t="s">
        <v>368</v>
      </c>
      <c r="D29" s="48">
        <f>D30+D34</f>
        <v>0</v>
      </c>
      <c r="E29" s="191">
        <f>E30+E34</f>
        <v>0</v>
      </c>
      <c r="F29" s="31">
        <f>F30+F34</f>
        <v>0</v>
      </c>
    </row>
    <row r="30" spans="1:6" ht="12.75">
      <c r="A30" s="77"/>
      <c r="B30" s="232" t="s">
        <v>136</v>
      </c>
      <c r="C30" s="434" t="s">
        <v>369</v>
      </c>
      <c r="D30" s="48">
        <f aca="true" t="shared" si="3" ref="D30:F31">D31</f>
        <v>0</v>
      </c>
      <c r="E30" s="191">
        <f t="shared" si="3"/>
        <v>0</v>
      </c>
      <c r="F30" s="31">
        <f t="shared" si="3"/>
        <v>0</v>
      </c>
    </row>
    <row r="31" spans="1:6" ht="12.75">
      <c r="A31" s="77"/>
      <c r="B31" s="232" t="s">
        <v>172</v>
      </c>
      <c r="C31" s="434" t="s">
        <v>370</v>
      </c>
      <c r="D31" s="48">
        <f t="shared" si="3"/>
        <v>0</v>
      </c>
      <c r="E31" s="191">
        <f t="shared" si="3"/>
        <v>0</v>
      </c>
      <c r="F31" s="31">
        <f t="shared" si="3"/>
        <v>0</v>
      </c>
    </row>
    <row r="32" spans="1:6" ht="12.75">
      <c r="A32" s="77" t="s">
        <v>434</v>
      </c>
      <c r="B32" s="33" t="s">
        <v>942</v>
      </c>
      <c r="C32" s="34" t="s">
        <v>948</v>
      </c>
      <c r="D32" s="48">
        <f>'Receita Prefeitura'!G378</f>
        <v>0</v>
      </c>
      <c r="E32" s="191">
        <f>'Receita Prefeitura'!H378</f>
        <v>0</v>
      </c>
      <c r="F32" s="31">
        <f>'Receita Prefeitura'!I378</f>
        <v>0</v>
      </c>
    </row>
    <row r="33" spans="1:6" ht="12.75">
      <c r="A33" s="77"/>
      <c r="B33" s="33"/>
      <c r="C33" s="34"/>
      <c r="D33" s="48"/>
      <c r="E33" s="191"/>
      <c r="F33" s="31"/>
    </row>
    <row r="34" spans="1:6" ht="12.75">
      <c r="A34" s="77"/>
      <c r="B34" s="33" t="s">
        <v>137</v>
      </c>
      <c r="C34" s="34" t="s">
        <v>371</v>
      </c>
      <c r="D34" s="48">
        <f aca="true" t="shared" si="4" ref="D34:F35">D35</f>
        <v>0</v>
      </c>
      <c r="E34" s="48">
        <f t="shared" si="4"/>
        <v>0</v>
      </c>
      <c r="F34" s="31">
        <f t="shared" si="4"/>
        <v>0</v>
      </c>
    </row>
    <row r="35" spans="1:6" ht="12.75">
      <c r="A35" s="61"/>
      <c r="B35" s="33" t="s">
        <v>173</v>
      </c>
      <c r="C35" s="34" t="s">
        <v>568</v>
      </c>
      <c r="D35" s="87">
        <f t="shared" si="4"/>
        <v>0</v>
      </c>
      <c r="E35" s="87">
        <f t="shared" si="4"/>
        <v>0</v>
      </c>
      <c r="F35" s="64">
        <f t="shared" si="4"/>
        <v>0</v>
      </c>
    </row>
    <row r="36" spans="1:6" ht="12.75">
      <c r="A36" s="32" t="s">
        <v>434</v>
      </c>
      <c r="B36" s="33" t="s">
        <v>567</v>
      </c>
      <c r="C36" s="34" t="s">
        <v>572</v>
      </c>
      <c r="D36" s="48">
        <f>'Receita Prefeitura'!G390</f>
        <v>0</v>
      </c>
      <c r="E36" s="48">
        <f>'Receita Prefeitura'!H390</f>
        <v>0</v>
      </c>
      <c r="F36" s="31">
        <f>'Receita Prefeitura'!I390</f>
        <v>0</v>
      </c>
    </row>
    <row r="37" spans="1:6" ht="12.75">
      <c r="A37" s="77"/>
      <c r="B37" s="33"/>
      <c r="C37" s="34"/>
      <c r="D37" s="48"/>
      <c r="E37" s="30"/>
      <c r="F37" s="31"/>
    </row>
    <row r="38" spans="1:6" ht="13.5" thickBot="1">
      <c r="A38" s="80"/>
      <c r="B38" s="49"/>
      <c r="C38" s="50"/>
      <c r="D38" s="88"/>
      <c r="E38" s="52"/>
      <c r="F38" s="83"/>
    </row>
    <row r="39" spans="1:6" ht="13.5" thickBot="1">
      <c r="A39" s="73"/>
      <c r="B39" s="635" t="s">
        <v>222</v>
      </c>
      <c r="C39" s="636"/>
      <c r="D39" s="74">
        <f>D6</f>
        <v>0</v>
      </c>
      <c r="E39" s="74">
        <f>E6</f>
        <v>0</v>
      </c>
      <c r="F39" s="75">
        <f>F6</f>
        <v>0</v>
      </c>
    </row>
  </sheetData>
  <sheetProtection formatCells="0" formatColumns="0" formatRows="0" insertRows="0" deleteRows="0"/>
  <mergeCells count="3">
    <mergeCell ref="B39:C39"/>
    <mergeCell ref="A2:F2"/>
    <mergeCell ref="E1:F1"/>
  </mergeCells>
  <printOptions horizontalCentered="1"/>
  <pageMargins left="0.4724409448818898" right="0.3937007874015748" top="0.6692913385826772" bottom="0.3937007874015748" header="0.2755905511811024" footer="0.5118110236220472"/>
  <pageSetup horizontalDpi="600" verticalDpi="600" orientation="portrait" paperSize="9" scale="76" r:id="rId1"/>
  <headerFooter alignWithMargins="0">
    <oddHeader>&amp;LPrevisão da Receita com Base na Tendência Histórica, Econômica e Inflacionária
Exercício de 2011&amp;R&amp;P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/>
  <dimension ref="A1:P84"/>
  <sheetViews>
    <sheetView zoomScaleSheetLayoutView="100" zoomScalePageLayoutView="0" workbookViewId="0" topLeftCell="A1">
      <pane ySplit="4" topLeftCell="A5" activePane="bottomLeft" state="frozen"/>
      <selection pane="topLeft" activeCell="A1" sqref="A1:H1"/>
      <selection pane="bottomLeft" activeCell="A5" sqref="A5"/>
    </sheetView>
  </sheetViews>
  <sheetFormatPr defaultColWidth="9.140625" defaultRowHeight="12.75"/>
  <cols>
    <col min="1" max="1" width="8.00390625" style="1" customWidth="1"/>
    <col min="2" max="2" width="13.7109375" style="1" customWidth="1"/>
    <col min="3" max="3" width="46.421875" style="1" bestFit="1" customWidth="1"/>
    <col min="4" max="4" width="15.00390625" style="21" customWidth="1"/>
    <col min="5" max="5" width="15.00390625" style="22" customWidth="1"/>
    <col min="6" max="6" width="15.00390625" style="23" customWidth="1"/>
    <col min="7" max="16384" width="9.140625" style="1" customWidth="1"/>
  </cols>
  <sheetData>
    <row r="1" spans="1:6" ht="13.5" thickBot="1">
      <c r="A1" s="534"/>
      <c r="B1" s="534"/>
      <c r="C1" s="532" t="str">
        <f>RPPS!C1</f>
        <v>PLANILHA DE ESTUDO E ESTIMATIVA DE RECEITA - EXERCÍCIO DE</v>
      </c>
      <c r="D1" s="533">
        <f>RPPS!D1</f>
        <v>2012</v>
      </c>
      <c r="E1" s="637" t="s">
        <v>1031</v>
      </c>
      <c r="F1" s="638"/>
    </row>
    <row r="2" spans="1:6" ht="12.75">
      <c r="A2" s="641" t="str">
        <f>'Receita Prefeitura'!A2:I2</f>
        <v>MUNICÍPIO DE CHÃ GRANDE</v>
      </c>
      <c r="B2" s="641"/>
      <c r="C2" s="641"/>
      <c r="D2" s="641"/>
      <c r="E2" s="641"/>
      <c r="F2" s="641"/>
    </row>
    <row r="3" spans="1:6" ht="13.5" thickBot="1">
      <c r="A3" s="2"/>
      <c r="B3" s="2"/>
      <c r="C3" s="2"/>
      <c r="D3" s="3"/>
      <c r="E3" s="4"/>
      <c r="F3" s="4"/>
    </row>
    <row r="4" spans="1:6" ht="60" customHeight="1" thickBot="1">
      <c r="A4" s="58" t="s">
        <v>443</v>
      </c>
      <c r="B4" s="5" t="s">
        <v>198</v>
      </c>
      <c r="C4" s="6" t="s">
        <v>199</v>
      </c>
      <c r="D4" s="7" t="str">
        <f>'Receita Prefeitura'!G4:G4</f>
        <v>Receita Arrecadada no 1º Semestre de 2011</v>
      </c>
      <c r="E4" s="8" t="str">
        <f>'Receita Prefeitura'!H4:H5</f>
        <v>Receita Projetada para 2011</v>
      </c>
      <c r="F4" s="9" t="str">
        <f>'Receita Prefeitura'!I4:I5</f>
        <v>Previsão da Receita para 2012 (LDO)</v>
      </c>
    </row>
    <row r="5" spans="1:6" ht="12.75">
      <c r="A5" s="59"/>
      <c r="B5" s="25"/>
      <c r="C5" s="70"/>
      <c r="D5" s="10"/>
      <c r="E5" s="11"/>
      <c r="F5" s="12"/>
    </row>
    <row r="6" spans="1:6" ht="12.75">
      <c r="A6" s="15"/>
      <c r="B6" s="28" t="s">
        <v>0</v>
      </c>
      <c r="C6" s="76" t="s">
        <v>231</v>
      </c>
      <c r="D6" s="358">
        <f>D18+D28+D46+D13+D7</f>
        <v>0</v>
      </c>
      <c r="E6" s="359">
        <f>E18+E28+E46+E13+E7</f>
        <v>0</v>
      </c>
      <c r="F6" s="360">
        <f>F18+F28+F46+F13+F7+F39</f>
        <v>0</v>
      </c>
    </row>
    <row r="7" spans="1:16" s="204" customFormat="1" ht="12.75" customHeight="1">
      <c r="A7" s="231"/>
      <c r="B7" s="232" t="s">
        <v>1</v>
      </c>
      <c r="C7" s="233" t="s">
        <v>273</v>
      </c>
      <c r="D7" s="368">
        <f>D8</f>
        <v>0</v>
      </c>
      <c r="E7" s="369">
        <f aca="true" t="shared" si="0" ref="E7:F10">E8</f>
        <v>0</v>
      </c>
      <c r="F7" s="47">
        <f t="shared" si="0"/>
        <v>0</v>
      </c>
      <c r="G7" s="407"/>
      <c r="H7" s="407"/>
      <c r="I7" s="407"/>
      <c r="J7" s="410"/>
      <c r="K7" s="411"/>
      <c r="L7" s="412"/>
      <c r="M7" s="413"/>
      <c r="N7" s="412"/>
      <c r="O7" s="412"/>
      <c r="P7" s="414"/>
    </row>
    <row r="8" spans="1:16" s="204" customFormat="1" ht="12.75" customHeight="1">
      <c r="A8" s="231"/>
      <c r="B8" s="232" t="s">
        <v>10</v>
      </c>
      <c r="C8" s="233" t="s">
        <v>282</v>
      </c>
      <c r="D8" s="368">
        <f>D9</f>
        <v>0</v>
      </c>
      <c r="E8" s="369">
        <f t="shared" si="0"/>
        <v>0</v>
      </c>
      <c r="F8" s="47">
        <f t="shared" si="0"/>
        <v>0</v>
      </c>
      <c r="G8" s="407"/>
      <c r="H8" s="407"/>
      <c r="I8" s="407"/>
      <c r="J8" s="415"/>
      <c r="K8" s="411"/>
      <c r="L8" s="412"/>
      <c r="M8" s="413"/>
      <c r="N8" s="412"/>
      <c r="O8" s="412"/>
      <c r="P8" s="414"/>
    </row>
    <row r="9" spans="1:16" s="204" customFormat="1" ht="12.75" customHeight="1">
      <c r="A9" s="231"/>
      <c r="B9" s="232" t="s">
        <v>24</v>
      </c>
      <c r="C9" s="233" t="s">
        <v>23</v>
      </c>
      <c r="D9" s="368">
        <f>D10</f>
        <v>0</v>
      </c>
      <c r="E9" s="369">
        <f t="shared" si="0"/>
        <v>0</v>
      </c>
      <c r="F9" s="47">
        <f t="shared" si="0"/>
        <v>0</v>
      </c>
      <c r="G9" s="411"/>
      <c r="H9" s="411"/>
      <c r="I9" s="411"/>
      <c r="J9" s="415"/>
      <c r="K9" s="411"/>
      <c r="L9" s="411"/>
      <c r="M9" s="411"/>
      <c r="N9" s="411"/>
      <c r="O9" s="411"/>
      <c r="P9" s="414"/>
    </row>
    <row r="10" spans="1:16" s="204" customFormat="1" ht="12.75" customHeight="1">
      <c r="A10" s="231"/>
      <c r="B10" s="232" t="s">
        <v>29</v>
      </c>
      <c r="C10" s="233" t="s">
        <v>290</v>
      </c>
      <c r="D10" s="368">
        <f>D11</f>
        <v>0</v>
      </c>
      <c r="E10" s="369">
        <f t="shared" si="0"/>
        <v>0</v>
      </c>
      <c r="F10" s="47">
        <f t="shared" si="0"/>
        <v>0</v>
      </c>
      <c r="J10" s="405"/>
      <c r="P10" s="206"/>
    </row>
    <row r="11" spans="1:16" s="204" customFormat="1" ht="12.75" customHeight="1">
      <c r="A11" s="231" t="s">
        <v>440</v>
      </c>
      <c r="B11" s="232" t="s">
        <v>993</v>
      </c>
      <c r="C11" s="233" t="s">
        <v>991</v>
      </c>
      <c r="D11" s="368">
        <f>'Receita Prefeitura'!G50</f>
        <v>0</v>
      </c>
      <c r="E11" s="369">
        <f>'Receita Prefeitura'!H50</f>
        <v>0</v>
      </c>
      <c r="F11" s="47">
        <f>'Receita Prefeitura'!I50</f>
        <v>0</v>
      </c>
      <c r="J11" s="405"/>
      <c r="P11" s="206"/>
    </row>
    <row r="12" spans="1:16" s="204" customFormat="1" ht="12.75" customHeight="1">
      <c r="A12" s="231"/>
      <c r="B12" s="232"/>
      <c r="C12" s="233"/>
      <c r="D12" s="234"/>
      <c r="E12" s="235"/>
      <c r="F12" s="233"/>
      <c r="G12" s="408"/>
      <c r="H12" s="407"/>
      <c r="I12" s="408"/>
      <c r="J12" s="405"/>
      <c r="P12" s="206"/>
    </row>
    <row r="13" spans="1:16" s="204" customFormat="1" ht="12.75" customHeight="1">
      <c r="A13" s="231"/>
      <c r="B13" s="232" t="s">
        <v>35</v>
      </c>
      <c r="C13" s="233" t="s">
        <v>295</v>
      </c>
      <c r="D13" s="228">
        <f>D14+G53</f>
        <v>0</v>
      </c>
      <c r="E13" s="229">
        <f>E14+H53</f>
        <v>0</v>
      </c>
      <c r="F13" s="230">
        <f>F14+I53</f>
        <v>0</v>
      </c>
      <c r="G13" s="261"/>
      <c r="H13" s="261"/>
      <c r="I13" s="261"/>
      <c r="P13" s="206"/>
    </row>
    <row r="14" spans="1:16" s="204" customFormat="1" ht="12.75" customHeight="1">
      <c r="A14" s="231"/>
      <c r="B14" s="232" t="s">
        <v>36</v>
      </c>
      <c r="C14" s="233" t="s">
        <v>296</v>
      </c>
      <c r="D14" s="228">
        <f aca="true" t="shared" si="1" ref="D14:F15">D15</f>
        <v>0</v>
      </c>
      <c r="E14" s="229">
        <f t="shared" si="1"/>
        <v>0</v>
      </c>
      <c r="F14" s="230">
        <f t="shared" si="1"/>
        <v>0</v>
      </c>
      <c r="G14" s="261"/>
      <c r="H14" s="261"/>
      <c r="I14" s="261"/>
      <c r="P14" s="206"/>
    </row>
    <row r="15" spans="1:16" s="204" customFormat="1" ht="12.75" customHeight="1">
      <c r="A15" s="231"/>
      <c r="B15" s="232" t="s">
        <v>936</v>
      </c>
      <c r="C15" s="233" t="s">
        <v>952</v>
      </c>
      <c r="D15" s="228">
        <f t="shared" si="1"/>
        <v>0</v>
      </c>
      <c r="E15" s="229">
        <f t="shared" si="1"/>
        <v>0</v>
      </c>
      <c r="F15" s="230">
        <f t="shared" si="1"/>
        <v>0</v>
      </c>
      <c r="G15" s="261"/>
      <c r="H15" s="261"/>
      <c r="I15" s="261"/>
      <c r="J15" s="240"/>
      <c r="P15" s="206"/>
    </row>
    <row r="16" spans="1:16" s="204" customFormat="1" ht="12.75" customHeight="1">
      <c r="A16" s="231" t="s">
        <v>440</v>
      </c>
      <c r="B16" s="232" t="s">
        <v>951</v>
      </c>
      <c r="C16" s="233" t="s">
        <v>954</v>
      </c>
      <c r="D16" s="228">
        <f>'Receita Prefeitura'!G80</f>
        <v>0</v>
      </c>
      <c r="E16" s="229">
        <f>'Receita Prefeitura'!H80</f>
        <v>0</v>
      </c>
      <c r="F16" s="230">
        <f>'Receita Prefeitura'!I80</f>
        <v>0</v>
      </c>
      <c r="G16" s="261"/>
      <c r="H16" s="261"/>
      <c r="I16" s="261"/>
      <c r="J16" s="240"/>
      <c r="P16" s="206"/>
    </row>
    <row r="17" spans="1:16" s="204" customFormat="1" ht="12.75" customHeight="1">
      <c r="A17" s="231"/>
      <c r="B17" s="232"/>
      <c r="C17" s="236"/>
      <c r="D17" s="228"/>
      <c r="E17" s="229"/>
      <c r="F17" s="230"/>
      <c r="G17" s="261"/>
      <c r="H17" s="261"/>
      <c r="I17" s="261"/>
      <c r="J17" s="240"/>
      <c r="P17" s="206"/>
    </row>
    <row r="18" spans="1:9" ht="12.75">
      <c r="A18" s="61"/>
      <c r="B18" s="33" t="s">
        <v>43</v>
      </c>
      <c r="C18" s="78" t="s">
        <v>42</v>
      </c>
      <c r="D18" s="89">
        <f>D23+D19</f>
        <v>0</v>
      </c>
      <c r="E18" s="90">
        <f>E23+E19</f>
        <v>0</v>
      </c>
      <c r="F18" s="91">
        <f>F23+F19</f>
        <v>0</v>
      </c>
      <c r="G18" s="409"/>
      <c r="H18" s="409"/>
      <c r="I18" s="409"/>
    </row>
    <row r="19" spans="1:16" s="204" customFormat="1" ht="12.75" customHeight="1">
      <c r="A19" s="231"/>
      <c r="B19" s="232" t="s">
        <v>45</v>
      </c>
      <c r="C19" s="233" t="s">
        <v>44</v>
      </c>
      <c r="D19" s="228">
        <f aca="true" t="shared" si="2" ref="D19:F20">D20</f>
        <v>0</v>
      </c>
      <c r="E19" s="229">
        <f t="shared" si="2"/>
        <v>0</v>
      </c>
      <c r="F19" s="230">
        <f t="shared" si="2"/>
        <v>0</v>
      </c>
      <c r="G19" s="261"/>
      <c r="H19" s="261"/>
      <c r="I19" s="261"/>
      <c r="J19" s="405"/>
      <c r="P19" s="206"/>
    </row>
    <row r="20" spans="1:16" s="204" customFormat="1" ht="12.75" customHeight="1">
      <c r="A20" s="231" t="s">
        <v>441</v>
      </c>
      <c r="B20" s="232" t="s">
        <v>47</v>
      </c>
      <c r="C20" s="233" t="s">
        <v>46</v>
      </c>
      <c r="D20" s="368">
        <f t="shared" si="2"/>
        <v>0</v>
      </c>
      <c r="E20" s="369">
        <f t="shared" si="2"/>
        <v>0</v>
      </c>
      <c r="F20" s="47">
        <f t="shared" si="2"/>
        <v>0</v>
      </c>
      <c r="G20" s="261"/>
      <c r="H20" s="261"/>
      <c r="I20" s="261"/>
      <c r="J20" s="405"/>
      <c r="P20" s="206"/>
    </row>
    <row r="21" spans="1:16" s="204" customFormat="1" ht="12.75" customHeight="1">
      <c r="A21" s="231" t="s">
        <v>440</v>
      </c>
      <c r="B21" s="232" t="s">
        <v>990</v>
      </c>
      <c r="C21" s="233" t="s">
        <v>988</v>
      </c>
      <c r="D21" s="368">
        <f>'Receita Prefeitura'!G90</f>
        <v>0</v>
      </c>
      <c r="E21" s="369">
        <f>'Receita Prefeitura'!H90</f>
        <v>0</v>
      </c>
      <c r="F21" s="47">
        <f>'Receita Prefeitura'!I90</f>
        <v>0</v>
      </c>
      <c r="G21" s="261"/>
      <c r="H21" s="261"/>
      <c r="I21" s="261"/>
      <c r="J21" s="405"/>
      <c r="P21" s="206"/>
    </row>
    <row r="22" spans="1:16" s="204" customFormat="1" ht="12.75" customHeight="1">
      <c r="A22" s="231"/>
      <c r="B22" s="232"/>
      <c r="C22" s="236"/>
      <c r="D22" s="368"/>
      <c r="E22" s="369"/>
      <c r="F22" s="47"/>
      <c r="G22" s="261"/>
      <c r="H22" s="261"/>
      <c r="I22" s="261"/>
      <c r="J22" s="405"/>
      <c r="P22" s="206"/>
    </row>
    <row r="23" spans="1:9" ht="12.75">
      <c r="A23" s="61"/>
      <c r="B23" s="33" t="s">
        <v>52</v>
      </c>
      <c r="C23" s="78" t="s">
        <v>262</v>
      </c>
      <c r="D23" s="89">
        <f>D24</f>
        <v>0</v>
      </c>
      <c r="E23" s="30">
        <f>E24</f>
        <v>0</v>
      </c>
      <c r="F23" s="31">
        <f>F24</f>
        <v>0</v>
      </c>
      <c r="G23" s="409"/>
      <c r="H23" s="409"/>
      <c r="I23" s="409"/>
    </row>
    <row r="24" spans="1:9" ht="12.75">
      <c r="A24" s="61"/>
      <c r="B24" s="33" t="s">
        <v>56</v>
      </c>
      <c r="C24" s="78" t="s">
        <v>300</v>
      </c>
      <c r="D24" s="89">
        <f aca="true" t="shared" si="3" ref="D24:F25">D25</f>
        <v>0</v>
      </c>
      <c r="E24" s="30">
        <f t="shared" si="3"/>
        <v>0</v>
      </c>
      <c r="F24" s="31">
        <f t="shared" si="3"/>
        <v>0</v>
      </c>
      <c r="G24" s="409"/>
      <c r="H24" s="409"/>
      <c r="I24" s="409"/>
    </row>
    <row r="25" spans="1:6" ht="12.75">
      <c r="A25" s="32"/>
      <c r="B25" s="33" t="s">
        <v>491</v>
      </c>
      <c r="C25" s="78" t="s">
        <v>302</v>
      </c>
      <c r="D25" s="29">
        <f t="shared" si="3"/>
        <v>0</v>
      </c>
      <c r="E25" s="30">
        <f t="shared" si="3"/>
        <v>0</v>
      </c>
      <c r="F25" s="31">
        <f t="shared" si="3"/>
        <v>0</v>
      </c>
    </row>
    <row r="26" spans="1:6" ht="12.75">
      <c r="A26" s="231" t="s">
        <v>440</v>
      </c>
      <c r="B26" s="541" t="str">
        <f>'Receita Prefeitura'!B118</f>
        <v>1325.01.99.02</v>
      </c>
      <c r="C26" s="92" t="str">
        <f>'Receita Prefeitura'!C118</f>
        <v>REC.REM.DEP.BANC.REC.VINC-AUTARQUIAS</v>
      </c>
      <c r="D26" s="89">
        <f>'Receita Prefeitura'!G118</f>
        <v>0</v>
      </c>
      <c r="E26" s="90">
        <f>'Receita Prefeitura'!H118</f>
        <v>0</v>
      </c>
      <c r="F26" s="91">
        <f>'Receita Prefeitura'!I118</f>
        <v>0</v>
      </c>
    </row>
    <row r="27" spans="1:6" ht="12.75">
      <c r="A27" s="61"/>
      <c r="B27" s="33"/>
      <c r="C27" s="78"/>
      <c r="D27" s="89"/>
      <c r="E27" s="30"/>
      <c r="F27" s="31"/>
    </row>
    <row r="28" spans="1:6" ht="12.75">
      <c r="A28" s="61"/>
      <c r="B28" s="33" t="s">
        <v>67</v>
      </c>
      <c r="C28" s="78" t="s">
        <v>307</v>
      </c>
      <c r="D28" s="89">
        <f>D29</f>
        <v>0</v>
      </c>
      <c r="E28" s="30">
        <f>E29</f>
        <v>0</v>
      </c>
      <c r="F28" s="31">
        <f>F29</f>
        <v>0</v>
      </c>
    </row>
    <row r="29" spans="1:6" ht="12.75">
      <c r="A29" s="32"/>
      <c r="B29" s="33" t="s">
        <v>81</v>
      </c>
      <c r="C29" s="78" t="s">
        <v>316</v>
      </c>
      <c r="D29" s="89">
        <f>SUM(D30:D37)</f>
        <v>0</v>
      </c>
      <c r="E29" s="30">
        <f>SUM(E30:E37)</f>
        <v>0</v>
      </c>
      <c r="F29" s="31">
        <f>SUM(F30:F37)</f>
        <v>0</v>
      </c>
    </row>
    <row r="30" spans="1:6" ht="12.75">
      <c r="A30" s="231" t="s">
        <v>440</v>
      </c>
      <c r="B30" s="33" t="s">
        <v>421</v>
      </c>
      <c r="C30" s="78" t="s">
        <v>445</v>
      </c>
      <c r="D30" s="89">
        <f>'Receita Prefeitura'!G160</f>
        <v>0</v>
      </c>
      <c r="E30" s="90">
        <f>'Receita Prefeitura'!H160</f>
        <v>0</v>
      </c>
      <c r="F30" s="91">
        <f>'Receita Prefeitura'!I160</f>
        <v>0</v>
      </c>
    </row>
    <row r="31" spans="1:6" ht="12.75">
      <c r="A31" s="231" t="s">
        <v>440</v>
      </c>
      <c r="B31" s="33" t="s">
        <v>422</v>
      </c>
      <c r="C31" s="78" t="s">
        <v>446</v>
      </c>
      <c r="D31" s="89">
        <f>'Receita Prefeitura'!G161</f>
        <v>0</v>
      </c>
      <c r="E31" s="90">
        <f>'Receita Prefeitura'!H161</f>
        <v>0</v>
      </c>
      <c r="F31" s="91">
        <f>'Receita Prefeitura'!I161</f>
        <v>0</v>
      </c>
    </row>
    <row r="32" spans="1:6" ht="12.75">
      <c r="A32" s="231" t="s">
        <v>440</v>
      </c>
      <c r="B32" s="33" t="s">
        <v>424</v>
      </c>
      <c r="C32" s="78" t="s">
        <v>447</v>
      </c>
      <c r="D32" s="89">
        <f>'Receita Prefeitura'!G162</f>
        <v>0</v>
      </c>
      <c r="E32" s="90">
        <f>'Receita Prefeitura'!H162</f>
        <v>0</v>
      </c>
      <c r="F32" s="91">
        <f>'Receita Prefeitura'!I162</f>
        <v>0</v>
      </c>
    </row>
    <row r="33" spans="1:6" ht="12.75">
      <c r="A33" s="231" t="s">
        <v>440</v>
      </c>
      <c r="B33" s="33" t="s">
        <v>448</v>
      </c>
      <c r="C33" s="78" t="s">
        <v>449</v>
      </c>
      <c r="D33" s="89">
        <f>'Receita Prefeitura'!G163</f>
        <v>0</v>
      </c>
      <c r="E33" s="90">
        <f>'Receita Prefeitura'!H163</f>
        <v>0</v>
      </c>
      <c r="F33" s="91">
        <f>'Receita Prefeitura'!I163</f>
        <v>0</v>
      </c>
    </row>
    <row r="34" spans="1:6" ht="12.75">
      <c r="A34" s="231" t="s">
        <v>440</v>
      </c>
      <c r="B34" s="33" t="s">
        <v>476</v>
      </c>
      <c r="C34" s="78" t="s">
        <v>423</v>
      </c>
      <c r="D34" s="89">
        <f>'Receita Prefeitura'!G164</f>
        <v>0</v>
      </c>
      <c r="E34" s="90">
        <f>'Receita Prefeitura'!H164</f>
        <v>0</v>
      </c>
      <c r="F34" s="91">
        <f>'Receita Prefeitura'!I164</f>
        <v>0</v>
      </c>
    </row>
    <row r="35" spans="1:6" ht="12.75">
      <c r="A35" s="231" t="s">
        <v>440</v>
      </c>
      <c r="B35" s="33" t="s">
        <v>477</v>
      </c>
      <c r="C35" s="78" t="s">
        <v>425</v>
      </c>
      <c r="D35" s="89">
        <f>'Receita Prefeitura'!G165</f>
        <v>0</v>
      </c>
      <c r="E35" s="90">
        <f>'Receita Prefeitura'!H165</f>
        <v>0</v>
      </c>
      <c r="F35" s="91">
        <f>'Receita Prefeitura'!I165</f>
        <v>0</v>
      </c>
    </row>
    <row r="36" spans="1:6" ht="12.75">
      <c r="A36" s="231" t="s">
        <v>440</v>
      </c>
      <c r="B36" s="33" t="str">
        <f>'Receita Prefeitura'!B166</f>
        <v>1600.16.06.01</v>
      </c>
      <c r="C36" s="34" t="str">
        <f>'Receita Prefeitura'!C166</f>
        <v>SERVIÇOS DE EXPEDIÇÃO DE CERTIFICADOS</v>
      </c>
      <c r="D36" s="89">
        <f>'Receita Prefeitura'!G166</f>
        <v>0</v>
      </c>
      <c r="E36" s="90">
        <f>'Receita Prefeitura'!H166</f>
        <v>0</v>
      </c>
      <c r="F36" s="91">
        <f>'Receita Prefeitura'!I166</f>
        <v>0</v>
      </c>
    </row>
    <row r="37" spans="1:6" ht="12.75">
      <c r="A37" s="231" t="s">
        <v>440</v>
      </c>
      <c r="B37" s="33" t="s">
        <v>426</v>
      </c>
      <c r="C37" s="78" t="s">
        <v>596</v>
      </c>
      <c r="D37" s="89">
        <f>'Receita Prefeitura'!G167</f>
        <v>0</v>
      </c>
      <c r="E37" s="90">
        <f>'Receita Prefeitura'!H167</f>
        <v>0</v>
      </c>
      <c r="F37" s="91">
        <f>'Receita Prefeitura'!I167</f>
        <v>0</v>
      </c>
    </row>
    <row r="38" spans="1:6" ht="12.75">
      <c r="A38" s="61"/>
      <c r="B38" s="33"/>
      <c r="C38" s="78"/>
      <c r="D38" s="89"/>
      <c r="E38" s="30"/>
      <c r="F38" s="31"/>
    </row>
    <row r="39" spans="1:16" s="204" customFormat="1" ht="12.75">
      <c r="A39" s="231"/>
      <c r="B39" s="232" t="s">
        <v>99</v>
      </c>
      <c r="C39" s="233" t="s">
        <v>98</v>
      </c>
      <c r="D39" s="228">
        <f>D40</f>
        <v>0</v>
      </c>
      <c r="E39" s="229">
        <f aca="true" t="shared" si="4" ref="E39:F43">E40</f>
        <v>0</v>
      </c>
      <c r="F39" s="230">
        <f t="shared" si="4"/>
        <v>0</v>
      </c>
      <c r="J39" s="405"/>
      <c r="P39" s="206"/>
    </row>
    <row r="40" spans="1:16" s="204" customFormat="1" ht="12.75">
      <c r="A40" s="231"/>
      <c r="B40" s="232" t="s">
        <v>100</v>
      </c>
      <c r="C40" s="233" t="s">
        <v>272</v>
      </c>
      <c r="D40" s="228">
        <f>D41</f>
        <v>0</v>
      </c>
      <c r="E40" s="229">
        <f t="shared" si="4"/>
        <v>0</v>
      </c>
      <c r="F40" s="230">
        <f t="shared" si="4"/>
        <v>0</v>
      </c>
      <c r="J40" s="405"/>
      <c r="P40" s="206"/>
    </row>
    <row r="41" spans="1:16" s="204" customFormat="1" ht="12.75">
      <c r="A41" s="231"/>
      <c r="B41" s="232" t="s">
        <v>117</v>
      </c>
      <c r="C41" s="233" t="s">
        <v>116</v>
      </c>
      <c r="D41" s="228">
        <f>D42</f>
        <v>0</v>
      </c>
      <c r="E41" s="229">
        <f t="shared" si="4"/>
        <v>0</v>
      </c>
      <c r="F41" s="230">
        <f t="shared" si="4"/>
        <v>0</v>
      </c>
      <c r="J41" s="405"/>
      <c r="P41" s="206"/>
    </row>
    <row r="42" spans="1:16" s="204" customFormat="1" ht="12.75">
      <c r="A42" s="231"/>
      <c r="B42" s="232" t="s">
        <v>402</v>
      </c>
      <c r="C42" s="233" t="s">
        <v>340</v>
      </c>
      <c r="D42" s="228">
        <f>D43</f>
        <v>0</v>
      </c>
      <c r="E42" s="229">
        <f t="shared" si="4"/>
        <v>0</v>
      </c>
      <c r="F42" s="230">
        <f t="shared" si="4"/>
        <v>0</v>
      </c>
      <c r="J42" s="405"/>
      <c r="P42" s="206"/>
    </row>
    <row r="43" spans="1:16" s="204" customFormat="1" ht="12.75">
      <c r="A43" s="231"/>
      <c r="B43" s="232" t="s">
        <v>848</v>
      </c>
      <c r="C43" s="233" t="s">
        <v>340</v>
      </c>
      <c r="D43" s="368">
        <f>D44</f>
        <v>0</v>
      </c>
      <c r="E43" s="369">
        <f t="shared" si="4"/>
        <v>0</v>
      </c>
      <c r="F43" s="47">
        <f t="shared" si="4"/>
        <v>0</v>
      </c>
      <c r="J43" s="405"/>
      <c r="P43" s="206"/>
    </row>
    <row r="44" spans="1:16" s="204" customFormat="1" ht="12.75">
      <c r="A44" s="231" t="s">
        <v>440</v>
      </c>
      <c r="B44" s="232" t="s">
        <v>984</v>
      </c>
      <c r="C44" s="233" t="s">
        <v>986</v>
      </c>
      <c r="D44" s="368">
        <f>'Receita Prefeitura'!G300</f>
        <v>0</v>
      </c>
      <c r="E44" s="369">
        <f>'Receita Prefeitura'!H300</f>
        <v>0</v>
      </c>
      <c r="F44" s="47">
        <f>'Receita Prefeitura'!I300</f>
        <v>0</v>
      </c>
      <c r="J44" s="405"/>
      <c r="P44" s="206"/>
    </row>
    <row r="45" spans="1:16" s="204" customFormat="1" ht="12.75">
      <c r="A45" s="231"/>
      <c r="B45" s="232"/>
      <c r="C45" s="236"/>
      <c r="D45" s="234"/>
      <c r="E45" s="235"/>
      <c r="F45" s="233"/>
      <c r="G45" s="408"/>
      <c r="H45" s="407"/>
      <c r="I45" s="408"/>
      <c r="J45" s="405"/>
      <c r="P45" s="206"/>
    </row>
    <row r="46" spans="1:6" ht="12.75">
      <c r="A46" s="231"/>
      <c r="B46" s="33" t="s">
        <v>130</v>
      </c>
      <c r="C46" s="78" t="s">
        <v>354</v>
      </c>
      <c r="D46" s="89">
        <f>D47+D56+D52+D65+D70</f>
        <v>0</v>
      </c>
      <c r="E46" s="90">
        <f>E47+E56+E52+E65+E70</f>
        <v>0</v>
      </c>
      <c r="F46" s="91">
        <f>F47+F56+F52+F65+F70</f>
        <v>0</v>
      </c>
    </row>
    <row r="47" spans="1:6" ht="12.75">
      <c r="A47" s="231"/>
      <c r="B47" s="33" t="s">
        <v>131</v>
      </c>
      <c r="C47" s="78" t="s">
        <v>355</v>
      </c>
      <c r="D47" s="93">
        <f>D48</f>
        <v>0</v>
      </c>
      <c r="E47" s="94">
        <f aca="true" t="shared" si="5" ref="E47:F49">E48</f>
        <v>0</v>
      </c>
      <c r="F47" s="95">
        <f t="shared" si="5"/>
        <v>0</v>
      </c>
    </row>
    <row r="48" spans="1:16" s="204" customFormat="1" ht="12.75">
      <c r="A48" s="231"/>
      <c r="B48" s="232" t="s">
        <v>132</v>
      </c>
      <c r="C48" s="233" t="s">
        <v>356</v>
      </c>
      <c r="D48" s="228">
        <f>D49</f>
        <v>0</v>
      </c>
      <c r="E48" s="229">
        <f t="shared" si="5"/>
        <v>0</v>
      </c>
      <c r="F48" s="230">
        <f t="shared" si="5"/>
        <v>0</v>
      </c>
      <c r="J48" s="405"/>
      <c r="P48" s="206"/>
    </row>
    <row r="49" spans="1:16" s="204" customFormat="1" ht="12.75">
      <c r="A49" s="231" t="s">
        <v>441</v>
      </c>
      <c r="B49" s="232" t="s">
        <v>164</v>
      </c>
      <c r="C49" s="233" t="s">
        <v>360</v>
      </c>
      <c r="D49" s="368">
        <f>D50</f>
        <v>0</v>
      </c>
      <c r="E49" s="369">
        <f t="shared" si="5"/>
        <v>0</v>
      </c>
      <c r="F49" s="47">
        <f t="shared" si="5"/>
        <v>0</v>
      </c>
      <c r="J49" s="405"/>
      <c r="P49" s="206"/>
    </row>
    <row r="50" spans="1:16" s="204" customFormat="1" ht="12.75">
      <c r="A50" s="231" t="s">
        <v>440</v>
      </c>
      <c r="B50" s="232" t="s">
        <v>980</v>
      </c>
      <c r="C50" s="233" t="s">
        <v>982</v>
      </c>
      <c r="D50" s="368">
        <f>'Receita Prefeitura'!G338</f>
        <v>0</v>
      </c>
      <c r="E50" s="369">
        <f>'Receita Prefeitura'!H338</f>
        <v>0</v>
      </c>
      <c r="F50" s="47">
        <f>'Receita Prefeitura'!I338</f>
        <v>0</v>
      </c>
      <c r="J50" s="405"/>
      <c r="P50" s="206"/>
    </row>
    <row r="51" spans="1:16" s="204" customFormat="1" ht="12.75">
      <c r="A51" s="231"/>
      <c r="B51" s="232"/>
      <c r="C51" s="233"/>
      <c r="D51" s="368"/>
      <c r="E51" s="229"/>
      <c r="F51" s="47"/>
      <c r="J51" s="405"/>
      <c r="P51" s="206"/>
    </row>
    <row r="52" spans="1:16" s="204" customFormat="1" ht="12.75">
      <c r="A52" s="231"/>
      <c r="B52" s="232" t="s">
        <v>134</v>
      </c>
      <c r="C52" s="233" t="s">
        <v>365</v>
      </c>
      <c r="D52" s="228">
        <f>SUM(G53:G55)</f>
        <v>0</v>
      </c>
      <c r="E52" s="229">
        <f>SUM(H53:H55)</f>
        <v>0</v>
      </c>
      <c r="F52" s="230">
        <f>SUM(I53:I55)</f>
        <v>0</v>
      </c>
      <c r="J52" s="405"/>
      <c r="P52" s="206"/>
    </row>
    <row r="53" spans="1:7" ht="12.75">
      <c r="A53" s="32"/>
      <c r="B53" s="33" t="s">
        <v>170</v>
      </c>
      <c r="C53" s="78" t="s">
        <v>366</v>
      </c>
      <c r="D53" s="29">
        <f>D54</f>
        <v>0</v>
      </c>
      <c r="E53" s="30">
        <f>E54</f>
        <v>0</v>
      </c>
      <c r="F53" s="31">
        <f>F54</f>
        <v>0</v>
      </c>
      <c r="G53" s="13"/>
    </row>
    <row r="54" spans="1:7" ht="12.75">
      <c r="A54" s="231" t="s">
        <v>440</v>
      </c>
      <c r="B54" s="33" t="s">
        <v>627</v>
      </c>
      <c r="C54" s="78" t="s">
        <v>629</v>
      </c>
      <c r="D54" s="29">
        <f>'Receita Prefeitura'!G368</f>
        <v>0</v>
      </c>
      <c r="E54" s="30">
        <f>'Receita Prefeitura'!H368</f>
        <v>0</v>
      </c>
      <c r="F54" s="31">
        <f>'Receita Prefeitura'!I368</f>
        <v>0</v>
      </c>
      <c r="G54" s="13"/>
    </row>
    <row r="55" spans="1:6" ht="12.75">
      <c r="A55" s="231"/>
      <c r="B55" s="33"/>
      <c r="C55" s="78"/>
      <c r="D55" s="93"/>
      <c r="E55" s="30"/>
      <c r="F55" s="31"/>
    </row>
    <row r="56" spans="1:6" ht="12.75">
      <c r="A56" s="231"/>
      <c r="B56" s="33" t="s">
        <v>135</v>
      </c>
      <c r="C56" s="78" t="s">
        <v>368</v>
      </c>
      <c r="D56" s="96">
        <f>D57+D61</f>
        <v>0</v>
      </c>
      <c r="E56" s="97">
        <f>E57+E61</f>
        <v>0</v>
      </c>
      <c r="F56" s="98">
        <f>F57+F61</f>
        <v>0</v>
      </c>
    </row>
    <row r="57" spans="1:6" ht="12.75">
      <c r="A57" s="231"/>
      <c r="B57" s="232" t="s">
        <v>136</v>
      </c>
      <c r="C57" s="434" t="s">
        <v>369</v>
      </c>
      <c r="D57" s="96">
        <f aca="true" t="shared" si="6" ref="D57:F58">D58</f>
        <v>0</v>
      </c>
      <c r="E57" s="97">
        <f t="shared" si="6"/>
        <v>0</v>
      </c>
      <c r="F57" s="98">
        <f t="shared" si="6"/>
        <v>0</v>
      </c>
    </row>
    <row r="58" spans="1:6" ht="12.75">
      <c r="A58" s="231"/>
      <c r="B58" s="232" t="s">
        <v>172</v>
      </c>
      <c r="C58" s="434" t="s">
        <v>370</v>
      </c>
      <c r="D58" s="96">
        <f t="shared" si="6"/>
        <v>0</v>
      </c>
      <c r="E58" s="97">
        <f t="shared" si="6"/>
        <v>0</v>
      </c>
      <c r="F58" s="98">
        <f t="shared" si="6"/>
        <v>0</v>
      </c>
    </row>
    <row r="59" spans="1:6" ht="12.75">
      <c r="A59" s="231" t="s">
        <v>440</v>
      </c>
      <c r="B59" s="33" t="s">
        <v>943</v>
      </c>
      <c r="C59" s="78" t="s">
        <v>949</v>
      </c>
      <c r="D59" s="96">
        <f>'Receita Prefeitura'!G379</f>
        <v>0</v>
      </c>
      <c r="E59" s="97">
        <f>'Receita Prefeitura'!H379</f>
        <v>0</v>
      </c>
      <c r="F59" s="98">
        <f>'Receita Prefeitura'!I379</f>
        <v>0</v>
      </c>
    </row>
    <row r="60" spans="1:6" ht="12.75">
      <c r="A60" s="231"/>
      <c r="B60" s="33"/>
      <c r="C60" s="78"/>
      <c r="D60" s="96"/>
      <c r="E60" s="97"/>
      <c r="F60" s="98"/>
    </row>
    <row r="61" spans="1:6" ht="12.75">
      <c r="A61" s="231"/>
      <c r="B61" s="33" t="s">
        <v>137</v>
      </c>
      <c r="C61" s="78" t="s">
        <v>371</v>
      </c>
      <c r="D61" s="96">
        <f aca="true" t="shared" si="7" ref="D61:F62">D62</f>
        <v>0</v>
      </c>
      <c r="E61" s="97">
        <f t="shared" si="7"/>
        <v>0</v>
      </c>
      <c r="F61" s="98">
        <f t="shared" si="7"/>
        <v>0</v>
      </c>
    </row>
    <row r="62" spans="1:6" ht="12.75">
      <c r="A62" s="231"/>
      <c r="B62" s="33" t="s">
        <v>173</v>
      </c>
      <c r="C62" s="78" t="s">
        <v>568</v>
      </c>
      <c r="D62" s="96">
        <f t="shared" si="7"/>
        <v>0</v>
      </c>
      <c r="E62" s="97">
        <f t="shared" si="7"/>
        <v>0</v>
      </c>
      <c r="F62" s="98">
        <f t="shared" si="7"/>
        <v>0</v>
      </c>
    </row>
    <row r="63" spans="1:6" ht="12.75">
      <c r="A63" s="231" t="s">
        <v>440</v>
      </c>
      <c r="B63" s="33" t="s">
        <v>573</v>
      </c>
      <c r="C63" s="78" t="s">
        <v>575</v>
      </c>
      <c r="D63" s="96">
        <f>'Receita Prefeitura'!G391</f>
        <v>0</v>
      </c>
      <c r="E63" s="97">
        <f>'Receita Prefeitura'!H391</f>
        <v>0</v>
      </c>
      <c r="F63" s="98">
        <f>'Receita Prefeitura'!I391</f>
        <v>0</v>
      </c>
    </row>
    <row r="64" spans="1:6" ht="12.75">
      <c r="A64" s="61"/>
      <c r="B64" s="33"/>
      <c r="C64" s="78"/>
      <c r="D64" s="96"/>
      <c r="E64" s="97"/>
      <c r="F64" s="98"/>
    </row>
    <row r="65" spans="1:16" s="204" customFormat="1" ht="12.75">
      <c r="A65" s="231"/>
      <c r="B65" s="232" t="s">
        <v>138</v>
      </c>
      <c r="C65" s="233" t="s">
        <v>372</v>
      </c>
      <c r="D65" s="228">
        <f>D66</f>
        <v>0</v>
      </c>
      <c r="E65" s="229">
        <f aca="true" t="shared" si="8" ref="E65:F67">E66</f>
        <v>0</v>
      </c>
      <c r="F65" s="230">
        <f t="shared" si="8"/>
        <v>0</v>
      </c>
      <c r="J65" s="405"/>
      <c r="P65" s="206"/>
    </row>
    <row r="66" spans="1:16" s="204" customFormat="1" ht="12.75">
      <c r="A66" s="231"/>
      <c r="B66" s="232" t="s">
        <v>139</v>
      </c>
      <c r="C66" s="233" t="s">
        <v>373</v>
      </c>
      <c r="D66" s="228">
        <f>D67</f>
        <v>0</v>
      </c>
      <c r="E66" s="229">
        <f t="shared" si="8"/>
        <v>0</v>
      </c>
      <c r="F66" s="230">
        <f t="shared" si="8"/>
        <v>0</v>
      </c>
      <c r="J66" s="405"/>
      <c r="P66" s="206"/>
    </row>
    <row r="67" spans="1:16" s="204" customFormat="1" ht="12.75">
      <c r="A67" s="231"/>
      <c r="B67" s="232" t="s">
        <v>178</v>
      </c>
      <c r="C67" s="233" t="s">
        <v>377</v>
      </c>
      <c r="D67" s="368">
        <f>D68</f>
        <v>0</v>
      </c>
      <c r="E67" s="369">
        <f t="shared" si="8"/>
        <v>0</v>
      </c>
      <c r="F67" s="47">
        <f t="shared" si="8"/>
        <v>0</v>
      </c>
      <c r="J67" s="405"/>
      <c r="P67" s="206"/>
    </row>
    <row r="68" spans="1:16" s="204" customFormat="1" ht="12.75">
      <c r="A68" s="231" t="s">
        <v>440</v>
      </c>
      <c r="B68" s="232" t="s">
        <v>978</v>
      </c>
      <c r="C68" s="233" t="s">
        <v>976</v>
      </c>
      <c r="D68" s="368">
        <f>'Receita Prefeitura'!G401</f>
        <v>0</v>
      </c>
      <c r="E68" s="369">
        <f>'Receita Prefeitura'!H401</f>
        <v>0</v>
      </c>
      <c r="F68" s="47">
        <f>'Receita Prefeitura'!I401</f>
        <v>0</v>
      </c>
      <c r="J68" s="405"/>
      <c r="P68" s="206"/>
    </row>
    <row r="69" spans="1:6" ht="12.75">
      <c r="A69" s="61"/>
      <c r="B69" s="33"/>
      <c r="C69" s="78"/>
      <c r="D69" s="96"/>
      <c r="E69" s="97"/>
      <c r="F69" s="98"/>
    </row>
    <row r="70" spans="1:16" s="204" customFormat="1" ht="12.75">
      <c r="A70" s="231"/>
      <c r="B70" s="232" t="s">
        <v>140</v>
      </c>
      <c r="C70" s="233" t="s">
        <v>378</v>
      </c>
      <c r="D70" s="228">
        <f aca="true" t="shared" si="9" ref="D70:F71">D71</f>
        <v>0</v>
      </c>
      <c r="E70" s="229">
        <f t="shared" si="9"/>
        <v>0</v>
      </c>
      <c r="F70" s="230">
        <f t="shared" si="9"/>
        <v>0</v>
      </c>
      <c r="J70" s="405"/>
      <c r="P70" s="206"/>
    </row>
    <row r="71" spans="1:16" s="204" customFormat="1" ht="12.75">
      <c r="A71" s="231"/>
      <c r="B71" s="232" t="s">
        <v>409</v>
      </c>
      <c r="C71" s="233" t="s">
        <v>398</v>
      </c>
      <c r="D71" s="228">
        <f t="shared" si="9"/>
        <v>0</v>
      </c>
      <c r="E71" s="229">
        <f t="shared" si="9"/>
        <v>0</v>
      </c>
      <c r="F71" s="230">
        <f t="shared" si="9"/>
        <v>0</v>
      </c>
      <c r="J71" s="405"/>
      <c r="P71" s="206"/>
    </row>
    <row r="72" spans="1:16" s="204" customFormat="1" ht="12.75">
      <c r="A72" s="231" t="s">
        <v>440</v>
      </c>
      <c r="B72" s="232" t="s">
        <v>974</v>
      </c>
      <c r="C72" s="233" t="s">
        <v>972</v>
      </c>
      <c r="D72" s="368">
        <f>'Receita Prefeitura'!G413</f>
        <v>0</v>
      </c>
      <c r="E72" s="369">
        <f>'Receita Prefeitura'!H413</f>
        <v>0</v>
      </c>
      <c r="F72" s="47">
        <f>'Receita Prefeitura'!I413</f>
        <v>0</v>
      </c>
      <c r="J72" s="405"/>
      <c r="P72" s="206"/>
    </row>
    <row r="73" spans="1:6" ht="12.75">
      <c r="A73" s="61"/>
      <c r="B73" s="33"/>
      <c r="C73" s="78"/>
      <c r="D73" s="397"/>
      <c r="E73" s="398"/>
      <c r="F73" s="399"/>
    </row>
    <row r="74" spans="1:13" s="204" customFormat="1" ht="12.75">
      <c r="A74" s="231"/>
      <c r="B74" s="232" t="s">
        <v>141</v>
      </c>
      <c r="C74" s="236" t="s">
        <v>233</v>
      </c>
      <c r="D74" s="400">
        <f>D75</f>
        <v>0</v>
      </c>
      <c r="E74" s="361">
        <f aca="true" t="shared" si="10" ref="E74:F77">E75</f>
        <v>0</v>
      </c>
      <c r="F74" s="362">
        <f t="shared" si="10"/>
        <v>0</v>
      </c>
      <c r="M74" s="206"/>
    </row>
    <row r="75" spans="1:13" s="204" customFormat="1" ht="12.75">
      <c r="A75" s="231"/>
      <c r="B75" s="232" t="s">
        <v>152</v>
      </c>
      <c r="C75" s="236" t="s">
        <v>344</v>
      </c>
      <c r="D75" s="400">
        <f>D76</f>
        <v>0</v>
      </c>
      <c r="E75" s="361">
        <f t="shared" si="10"/>
        <v>0</v>
      </c>
      <c r="F75" s="362">
        <f>F76+F80</f>
        <v>0</v>
      </c>
      <c r="M75" s="206"/>
    </row>
    <row r="76" spans="1:13" s="204" customFormat="1" ht="12.75">
      <c r="A76" s="231"/>
      <c r="B76" s="232" t="s">
        <v>153</v>
      </c>
      <c r="C76" s="236" t="s">
        <v>389</v>
      </c>
      <c r="D76" s="400">
        <f>D77</f>
        <v>0</v>
      </c>
      <c r="E76" s="361">
        <f t="shared" si="10"/>
        <v>0</v>
      </c>
      <c r="F76" s="362">
        <f t="shared" si="10"/>
        <v>0</v>
      </c>
      <c r="M76" s="206"/>
    </row>
    <row r="77" spans="1:13" s="204" customFormat="1" ht="12.75">
      <c r="A77" s="231"/>
      <c r="B77" s="232" t="s">
        <v>188</v>
      </c>
      <c r="C77" s="236" t="s">
        <v>391</v>
      </c>
      <c r="D77" s="400">
        <f>D78</f>
        <v>0</v>
      </c>
      <c r="E77" s="361">
        <f t="shared" si="10"/>
        <v>0</v>
      </c>
      <c r="F77" s="362">
        <f t="shared" si="10"/>
        <v>0</v>
      </c>
      <c r="G77" s="240"/>
      <c r="M77" s="206"/>
    </row>
    <row r="78" spans="1:13" s="204" customFormat="1" ht="12.75">
      <c r="A78" s="231" t="s">
        <v>440</v>
      </c>
      <c r="B78" s="232" t="s">
        <v>960</v>
      </c>
      <c r="C78" s="236" t="s">
        <v>962</v>
      </c>
      <c r="D78" s="400">
        <f>'Receita Prefeitura'!G451</f>
        <v>0</v>
      </c>
      <c r="E78" s="361">
        <f>'Receita Prefeitura'!H451</f>
        <v>0</v>
      </c>
      <c r="F78" s="362">
        <f>'Receita Prefeitura'!I451</f>
        <v>0</v>
      </c>
      <c r="G78" s="240"/>
      <c r="M78" s="206"/>
    </row>
    <row r="79" spans="1:13" s="204" customFormat="1" ht="12.75">
      <c r="A79" s="231"/>
      <c r="B79" s="232"/>
      <c r="C79" s="236"/>
      <c r="D79" s="400"/>
      <c r="E79" s="361"/>
      <c r="F79" s="362"/>
      <c r="G79" s="240"/>
      <c r="M79" s="206"/>
    </row>
    <row r="80" spans="1:16" s="204" customFormat="1" ht="12.75">
      <c r="A80" s="231"/>
      <c r="B80" s="232" t="s">
        <v>154</v>
      </c>
      <c r="C80" s="233" t="s">
        <v>400</v>
      </c>
      <c r="D80" s="228">
        <f aca="true" t="shared" si="11" ref="D80:F81">D81</f>
        <v>0</v>
      </c>
      <c r="E80" s="229">
        <f t="shared" si="11"/>
        <v>0</v>
      </c>
      <c r="F80" s="230">
        <f t="shared" si="11"/>
        <v>0</v>
      </c>
      <c r="J80" s="405"/>
      <c r="P80" s="206"/>
    </row>
    <row r="81" spans="1:16" s="204" customFormat="1" ht="12.75">
      <c r="A81" s="231"/>
      <c r="B81" s="232" t="s">
        <v>193</v>
      </c>
      <c r="C81" s="233" t="s">
        <v>394</v>
      </c>
      <c r="D81" s="368">
        <f t="shared" si="11"/>
        <v>0</v>
      </c>
      <c r="E81" s="369">
        <f t="shared" si="11"/>
        <v>0</v>
      </c>
      <c r="F81" s="47">
        <f t="shared" si="11"/>
        <v>0</v>
      </c>
      <c r="J81" s="405"/>
      <c r="P81" s="206"/>
    </row>
    <row r="82" spans="1:16" s="261" customFormat="1" ht="12.75">
      <c r="A82" s="231" t="s">
        <v>440</v>
      </c>
      <c r="B82" s="232" t="s">
        <v>968</v>
      </c>
      <c r="C82" s="233" t="s">
        <v>970</v>
      </c>
      <c r="D82" s="368">
        <f>'Receita Prefeitura'!G459</f>
        <v>0</v>
      </c>
      <c r="E82" s="369">
        <f>'Receita Prefeitura'!H459</f>
        <v>0</v>
      </c>
      <c r="F82" s="47">
        <f>'Receita Prefeitura'!I459</f>
        <v>0</v>
      </c>
      <c r="J82" s="406"/>
      <c r="P82" s="262"/>
    </row>
    <row r="83" spans="1:6" ht="13.5" thickBot="1">
      <c r="A83" s="99"/>
      <c r="B83" s="49"/>
      <c r="C83" s="81"/>
      <c r="D83" s="401"/>
      <c r="E83" s="402"/>
      <c r="F83" s="403"/>
    </row>
    <row r="84" spans="1:6" ht="13.5" thickBot="1">
      <c r="A84" s="100"/>
      <c r="B84" s="639" t="s">
        <v>222</v>
      </c>
      <c r="C84" s="640"/>
      <c r="D84" s="19">
        <f>D6</f>
        <v>0</v>
      </c>
      <c r="E84" s="19">
        <f>E6</f>
        <v>0</v>
      </c>
      <c r="F84" s="20">
        <f>F6+F74</f>
        <v>0</v>
      </c>
    </row>
  </sheetData>
  <sheetProtection formatCells="0" formatColumns="0" formatRows="0" insertRows="0" deleteRows="0"/>
  <mergeCells count="3">
    <mergeCell ref="B84:C84"/>
    <mergeCell ref="A2:F2"/>
    <mergeCell ref="E1:F1"/>
  </mergeCells>
  <dataValidations count="2">
    <dataValidation type="list" allowBlank="1" showInputMessage="1" showErrorMessage="1" sqref="D45:F45">
      <formula1>$M$14:$M$41</formula1>
    </dataValidation>
    <dataValidation type="list" allowBlank="1" showInputMessage="1" showErrorMessage="1" sqref="D12:F12">
      <formula1>$M$10:$M$30</formula1>
    </dataValidation>
  </dataValidations>
  <printOptions horizontalCentered="1"/>
  <pageMargins left="0.4724409448818898" right="0.3937007874015748" top="0.6692913385826772" bottom="0.3937007874015748" header="0.2755905511811024" footer="0.5118110236220472"/>
  <pageSetup horizontalDpi="600" verticalDpi="600" orientation="portrait" paperSize="9" scale="77" r:id="rId1"/>
  <headerFooter alignWithMargins="0">
    <oddHeader>&amp;LPrevisão da Receita com Base na Tendência Histórica, Econômica e Inflacionária
Exercício de 2011&amp;R&amp;P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A1:I50"/>
  <sheetViews>
    <sheetView tabSelected="1" view="pageBreakPreview" zoomScaleNormal="70" zoomScaleSheetLayoutView="100" zoomScalePageLayoutView="0" workbookViewId="0" topLeftCell="B10">
      <selection activeCell="J10" sqref="J10"/>
    </sheetView>
  </sheetViews>
  <sheetFormatPr defaultColWidth="9.140625" defaultRowHeight="12.75"/>
  <cols>
    <col min="1" max="1" width="77.7109375" style="1" customWidth="1"/>
    <col min="2" max="2" width="17.8515625" style="1" bestFit="1" customWidth="1"/>
    <col min="3" max="3" width="10.00390625" style="1" customWidth="1"/>
    <col min="4" max="4" width="2.28125" style="108" customWidth="1"/>
    <col min="5" max="5" width="9.28125" style="1" bestFit="1" customWidth="1"/>
    <col min="6" max="6" width="50.28125" style="1" customWidth="1"/>
    <col min="7" max="7" width="17.8515625" style="1" bestFit="1" customWidth="1"/>
    <col min="8" max="8" width="11.00390625" style="1" bestFit="1" customWidth="1"/>
    <col min="9" max="16384" width="9.140625" style="1" customWidth="1"/>
  </cols>
  <sheetData>
    <row r="1" spans="1:8" ht="12.75">
      <c r="A1" s="643"/>
      <c r="B1" s="643"/>
      <c r="C1" s="643"/>
      <c r="D1" s="643"/>
      <c r="E1" s="643"/>
      <c r="F1" s="643"/>
      <c r="G1" s="643"/>
      <c r="H1" s="643"/>
    </row>
    <row r="2" spans="1:8" ht="15" customHeight="1">
      <c r="A2" s="643"/>
      <c r="B2" s="643"/>
      <c r="C2" s="643"/>
      <c r="D2" s="643"/>
      <c r="E2" s="643"/>
      <c r="F2" s="643"/>
      <c r="G2" s="643"/>
      <c r="H2" s="643"/>
    </row>
    <row r="3" spans="1:8" ht="15" customHeight="1">
      <c r="A3" s="643"/>
      <c r="B3" s="643"/>
      <c r="C3" s="643"/>
      <c r="D3" s="643"/>
      <c r="E3" s="643"/>
      <c r="F3" s="643"/>
      <c r="G3" s="643"/>
      <c r="H3" s="643"/>
    </row>
    <row r="4" spans="1:8" ht="15" customHeight="1">
      <c r="A4" s="643"/>
      <c r="B4" s="643"/>
      <c r="C4" s="643"/>
      <c r="D4" s="643"/>
      <c r="E4" s="643"/>
      <c r="F4" s="643"/>
      <c r="G4" s="643"/>
      <c r="H4" s="643"/>
    </row>
    <row r="5" spans="1:8" ht="15" customHeight="1">
      <c r="A5" s="643"/>
      <c r="B5" s="643"/>
      <c r="C5" s="643"/>
      <c r="D5" s="643"/>
      <c r="E5" s="643"/>
      <c r="F5" s="643"/>
      <c r="G5" s="643"/>
      <c r="H5" s="643"/>
    </row>
    <row r="6" spans="1:8" ht="15" customHeight="1">
      <c r="A6" s="647"/>
      <c r="B6" s="647"/>
      <c r="C6" s="647"/>
      <c r="D6" s="647"/>
      <c r="E6" s="647"/>
      <c r="F6" s="647"/>
      <c r="G6" s="647"/>
      <c r="H6" s="647"/>
    </row>
    <row r="7" spans="1:9" ht="15.75">
      <c r="A7" s="646"/>
      <c r="B7" s="646"/>
      <c r="C7" s="646"/>
      <c r="D7" s="646"/>
      <c r="E7" s="646"/>
      <c r="F7" s="646"/>
      <c r="G7" s="646"/>
      <c r="H7" s="646"/>
      <c r="I7" s="101"/>
    </row>
    <row r="8" spans="1:8" ht="15.75">
      <c r="A8" s="644" t="s">
        <v>223</v>
      </c>
      <c r="B8" s="644"/>
      <c r="C8" s="644"/>
      <c r="D8" s="644"/>
      <c r="E8" s="644"/>
      <c r="F8" s="644"/>
      <c r="G8" s="644"/>
      <c r="H8" s="644"/>
    </row>
    <row r="9" spans="1:8" ht="15.75">
      <c r="A9" s="645" t="s">
        <v>224</v>
      </c>
      <c r="B9" s="645"/>
      <c r="C9" s="645"/>
      <c r="D9" s="645"/>
      <c r="E9" s="645"/>
      <c r="F9" s="645"/>
      <c r="G9" s="645"/>
      <c r="H9" s="645"/>
    </row>
    <row r="10" spans="1:8" ht="3.75" customHeight="1">
      <c r="A10" s="642"/>
      <c r="B10" s="642"/>
      <c r="C10" s="642"/>
      <c r="D10" s="642"/>
      <c r="E10" s="642"/>
      <c r="F10" s="642"/>
      <c r="G10" s="642"/>
      <c r="H10" s="642"/>
    </row>
    <row r="11" spans="1:8" ht="13.5" thickBot="1">
      <c r="A11" s="648"/>
      <c r="B11" s="648"/>
      <c r="C11" s="648"/>
      <c r="D11" s="648"/>
      <c r="E11" s="648"/>
      <c r="F11" s="648"/>
      <c r="G11" s="648"/>
      <c r="H11" s="648"/>
    </row>
    <row r="12" spans="1:8" ht="15.75">
      <c r="A12" s="649" t="s">
        <v>204</v>
      </c>
      <c r="B12" s="650"/>
      <c r="C12" s="651"/>
      <c r="D12" s="102"/>
      <c r="E12" s="649" t="s">
        <v>205</v>
      </c>
      <c r="F12" s="650"/>
      <c r="G12" s="650"/>
      <c r="H12" s="651"/>
    </row>
    <row r="13" spans="1:8" ht="12.75">
      <c r="A13" s="652"/>
      <c r="B13" s="653"/>
      <c r="C13" s="654"/>
      <c r="D13" s="103"/>
      <c r="E13" s="652"/>
      <c r="F13" s="653"/>
      <c r="G13" s="653"/>
      <c r="H13" s="654"/>
    </row>
    <row r="14" spans="1:8" ht="12.75">
      <c r="A14" s="656" t="s">
        <v>206</v>
      </c>
      <c r="B14" s="657"/>
      <c r="C14" s="658"/>
      <c r="D14" s="104"/>
      <c r="E14" s="656" t="s">
        <v>225</v>
      </c>
      <c r="F14" s="657"/>
      <c r="G14" s="657"/>
      <c r="H14" s="658"/>
    </row>
    <row r="15" spans="1:8" ht="12.75">
      <c r="A15" s="659"/>
      <c r="B15" s="660"/>
      <c r="C15" s="661"/>
      <c r="D15" s="104"/>
      <c r="E15" s="659"/>
      <c r="F15" s="660"/>
      <c r="G15" s="660"/>
      <c r="H15" s="661"/>
    </row>
    <row r="16" spans="1:8" ht="12.75">
      <c r="A16" s="659"/>
      <c r="B16" s="660"/>
      <c r="C16" s="661"/>
      <c r="D16" s="104"/>
      <c r="E16" s="659"/>
      <c r="F16" s="660"/>
      <c r="G16" s="660"/>
      <c r="H16" s="661"/>
    </row>
    <row r="17" spans="1:8" ht="15.75">
      <c r="A17" s="120" t="s">
        <v>207</v>
      </c>
      <c r="B17" s="121" t="s">
        <v>208</v>
      </c>
      <c r="C17" s="122" t="s">
        <v>209</v>
      </c>
      <c r="D17" s="105"/>
      <c r="E17" s="668" t="s">
        <v>207</v>
      </c>
      <c r="F17" s="669"/>
      <c r="G17" s="121" t="s">
        <v>208</v>
      </c>
      <c r="H17" s="122" t="s">
        <v>209</v>
      </c>
    </row>
    <row r="18" spans="1:8" ht="6.75" customHeight="1" thickBot="1">
      <c r="A18" s="123"/>
      <c r="B18" s="124"/>
      <c r="C18" s="125"/>
      <c r="D18" s="106"/>
      <c r="E18" s="123"/>
      <c r="F18" s="124"/>
      <c r="G18" s="110"/>
      <c r="H18" s="125"/>
    </row>
    <row r="19" spans="1:8" ht="15.75">
      <c r="A19" s="126" t="s">
        <v>210</v>
      </c>
      <c r="B19" s="153">
        <f>Educação!B18</f>
        <v>1991000</v>
      </c>
      <c r="C19" s="128">
        <f>B19/B39*100</f>
        <v>10.202408403791955</v>
      </c>
      <c r="D19" s="107"/>
      <c r="E19" s="133">
        <v>10122</v>
      </c>
      <c r="F19" s="132" t="s">
        <v>483</v>
      </c>
      <c r="G19" s="160">
        <v>3304150</v>
      </c>
      <c r="H19" s="128">
        <f>IF(G19=0,"",G19/$G$39*100)</f>
        <v>36.6185866354876</v>
      </c>
    </row>
    <row r="20" spans="1:8" ht="15.75">
      <c r="A20" s="129" t="s">
        <v>211</v>
      </c>
      <c r="B20" s="154">
        <f>Educação!B19</f>
        <v>504000</v>
      </c>
      <c r="C20" s="130">
        <f>B20/B39*100</f>
        <v>2.5826287471176017</v>
      </c>
      <c r="D20" s="107"/>
      <c r="E20" s="133"/>
      <c r="F20" s="132"/>
      <c r="G20" s="160"/>
      <c r="H20" s="130">
        <f aca="true" t="shared" si="0" ref="H20:H37">IF(G20=0,"",G20/$G$39*100)</f>
      </c>
    </row>
    <row r="21" spans="1:8" ht="15.75">
      <c r="A21" s="129" t="s">
        <v>644</v>
      </c>
      <c r="B21" s="154">
        <f>Educação!B20</f>
        <v>3000</v>
      </c>
      <c r="C21" s="130">
        <f>B21/B39*100</f>
        <v>0.015372790161414298</v>
      </c>
      <c r="D21" s="107"/>
      <c r="E21" s="133">
        <v>10126</v>
      </c>
      <c r="F21" s="132" t="s">
        <v>1044</v>
      </c>
      <c r="G21" s="160">
        <v>20000</v>
      </c>
      <c r="H21" s="130">
        <f t="shared" si="0"/>
        <v>0.2216520838066529</v>
      </c>
    </row>
    <row r="22" spans="1:8" ht="15.75">
      <c r="A22" s="134"/>
      <c r="B22" s="155"/>
      <c r="C22" s="119"/>
      <c r="E22" s="133"/>
      <c r="F22" s="132"/>
      <c r="G22" s="160"/>
      <c r="H22" s="130">
        <f t="shared" si="0"/>
      </c>
    </row>
    <row r="23" spans="1:8" ht="16.5" thickBot="1">
      <c r="A23" s="135" t="s">
        <v>212</v>
      </c>
      <c r="B23" s="156">
        <f>SUM(B19:B21)</f>
        <v>2498000</v>
      </c>
      <c r="C23" s="136">
        <f>B23/B39*100</f>
        <v>12.80040994107097</v>
      </c>
      <c r="D23" s="109"/>
      <c r="E23" s="133">
        <v>10128</v>
      </c>
      <c r="F23" s="132" t="s">
        <v>1045</v>
      </c>
      <c r="G23" s="160">
        <v>8000</v>
      </c>
      <c r="H23" s="130">
        <f t="shared" si="0"/>
        <v>0.08866083352266116</v>
      </c>
    </row>
    <row r="24" spans="1:8" ht="16.5" thickBot="1">
      <c r="A24" s="123"/>
      <c r="B24" s="110"/>
      <c r="C24" s="137"/>
      <c r="D24" s="107"/>
      <c r="E24" s="133"/>
      <c r="F24" s="132"/>
      <c r="G24" s="160"/>
      <c r="H24" s="130">
        <f t="shared" si="0"/>
      </c>
    </row>
    <row r="25" spans="1:8" ht="15.75">
      <c r="A25" s="138" t="s">
        <v>213</v>
      </c>
      <c r="B25" s="157">
        <f>SUM(B27:B29)</f>
        <v>13961000</v>
      </c>
      <c r="C25" s="139">
        <f>B25/B39*100</f>
        <v>71.539841147835</v>
      </c>
      <c r="D25" s="109"/>
      <c r="E25" s="133">
        <v>10301</v>
      </c>
      <c r="F25" s="132" t="s">
        <v>226</v>
      </c>
      <c r="G25" s="160">
        <v>2697000</v>
      </c>
      <c r="H25" s="130">
        <f t="shared" si="0"/>
        <v>29.889783501327145</v>
      </c>
    </row>
    <row r="26" spans="1:8" ht="15.75">
      <c r="A26" s="129"/>
      <c r="B26" s="154"/>
      <c r="C26" s="130"/>
      <c r="D26" s="107"/>
      <c r="E26" s="133"/>
      <c r="F26" s="132"/>
      <c r="G26" s="160"/>
      <c r="H26" s="130">
        <f t="shared" si="0"/>
      </c>
    </row>
    <row r="27" spans="1:8" ht="15.75">
      <c r="A27" s="129" t="s">
        <v>214</v>
      </c>
      <c r="B27" s="154">
        <f>'Receita Prefeitura'!I188</f>
        <v>13945000</v>
      </c>
      <c r="C27" s="130">
        <f>B27/B39*100</f>
        <v>71.45785293364078</v>
      </c>
      <c r="D27" s="107"/>
      <c r="E27" s="133">
        <v>10302</v>
      </c>
      <c r="F27" s="132" t="s">
        <v>738</v>
      </c>
      <c r="G27" s="160">
        <v>2525000</v>
      </c>
      <c r="H27" s="130">
        <f t="shared" si="0"/>
        <v>27.983575580589925</v>
      </c>
    </row>
    <row r="28" spans="1:8" ht="15.75">
      <c r="A28" s="129" t="s">
        <v>215</v>
      </c>
      <c r="B28" s="154">
        <f>'Receita Prefeitura'!I190</f>
        <v>7000</v>
      </c>
      <c r="C28" s="130">
        <f>B28/B39*100</f>
        <v>0.03586984370996669</v>
      </c>
      <c r="D28" s="107"/>
      <c r="E28" s="133"/>
      <c r="F28" s="132"/>
      <c r="G28" s="160"/>
      <c r="H28" s="130">
        <f t="shared" si="0"/>
      </c>
    </row>
    <row r="29" spans="1:8" ht="15.75">
      <c r="A29" s="129" t="s">
        <v>216</v>
      </c>
      <c r="B29" s="154">
        <f>'Receita Prefeitura'!I278</f>
        <v>9000</v>
      </c>
      <c r="C29" s="130">
        <f>B29/B39*100</f>
        <v>0.04611837048424289</v>
      </c>
      <c r="D29" s="107"/>
      <c r="E29" s="133">
        <v>10303</v>
      </c>
      <c r="F29" s="132" t="s">
        <v>739</v>
      </c>
      <c r="G29" s="160">
        <v>268000</v>
      </c>
      <c r="H29" s="130">
        <f t="shared" si="0"/>
        <v>2.970137923009149</v>
      </c>
    </row>
    <row r="30" spans="1:8" ht="15.75">
      <c r="A30" s="129"/>
      <c r="B30" s="154"/>
      <c r="C30" s="130"/>
      <c r="D30" s="107"/>
      <c r="E30" s="133"/>
      <c r="F30" s="132"/>
      <c r="G30" s="160"/>
      <c r="H30" s="130">
        <f t="shared" si="0"/>
      </c>
    </row>
    <row r="31" spans="1:8" ht="15.75">
      <c r="A31" s="140" t="s">
        <v>217</v>
      </c>
      <c r="B31" s="158">
        <f>SUM(B33:B35)</f>
        <v>3056000</v>
      </c>
      <c r="C31" s="141">
        <f>B31/B39*100</f>
        <v>15.659748911094029</v>
      </c>
      <c r="D31" s="109"/>
      <c r="E31" s="133">
        <v>10304</v>
      </c>
      <c r="F31" s="132" t="s">
        <v>484</v>
      </c>
      <c r="G31" s="160">
        <v>6000</v>
      </c>
      <c r="H31" s="130">
        <f t="shared" si="0"/>
        <v>0.06649562514199588</v>
      </c>
    </row>
    <row r="32" spans="1:8" ht="15.75">
      <c r="A32" s="129"/>
      <c r="B32" s="154"/>
      <c r="C32" s="130"/>
      <c r="D32" s="107"/>
      <c r="E32" s="133"/>
      <c r="F32" s="132"/>
      <c r="G32" s="160"/>
      <c r="H32" s="130">
        <f t="shared" si="0"/>
      </c>
    </row>
    <row r="33" spans="1:8" ht="15.75">
      <c r="A33" s="129" t="s">
        <v>218</v>
      </c>
      <c r="B33" s="154">
        <f>'Receita Prefeitura'!I286</f>
        <v>533000</v>
      </c>
      <c r="C33" s="130">
        <f>B33/B39*100</f>
        <v>2.7312323853446068</v>
      </c>
      <c r="D33" s="107"/>
      <c r="E33" s="133">
        <v>10305</v>
      </c>
      <c r="F33" s="132" t="s">
        <v>743</v>
      </c>
      <c r="G33" s="160">
        <v>190000</v>
      </c>
      <c r="H33" s="130">
        <f t="shared" si="0"/>
        <v>2.105694796163202</v>
      </c>
    </row>
    <row r="34" spans="1:8" ht="15.75">
      <c r="A34" s="129" t="s">
        <v>219</v>
      </c>
      <c r="B34" s="154">
        <f>'Receita Prefeitura'!I284</f>
        <v>2517000</v>
      </c>
      <c r="C34" s="130">
        <f>B34/B39*100</f>
        <v>12.897770945426595</v>
      </c>
      <c r="D34" s="107"/>
      <c r="E34" s="133"/>
      <c r="F34" s="132"/>
      <c r="G34" s="160"/>
      <c r="H34" s="130">
        <f t="shared" si="0"/>
      </c>
    </row>
    <row r="35" spans="1:8" ht="15.75">
      <c r="A35" s="129" t="s">
        <v>220</v>
      </c>
      <c r="B35" s="154">
        <f>'Receita Prefeitura'!I288</f>
        <v>6000</v>
      </c>
      <c r="C35" s="130">
        <f>B35/B39*100</f>
        <v>0.030745580322828595</v>
      </c>
      <c r="D35" s="107"/>
      <c r="E35" s="133">
        <v>10306</v>
      </c>
      <c r="F35" s="132" t="s">
        <v>1043</v>
      </c>
      <c r="G35" s="160">
        <v>5000</v>
      </c>
      <c r="H35" s="130">
        <f t="shared" si="0"/>
        <v>0.05541302095166323</v>
      </c>
    </row>
    <row r="36" spans="1:8" ht="15.75">
      <c r="A36" s="129"/>
      <c r="B36" s="154"/>
      <c r="C36" s="130"/>
      <c r="D36" s="107"/>
      <c r="E36" s="133"/>
      <c r="F36" s="132"/>
      <c r="G36" s="160"/>
      <c r="H36" s="130">
        <f t="shared" si="0"/>
      </c>
    </row>
    <row r="37" spans="1:8" ht="16.5" thickBot="1">
      <c r="A37" s="135" t="s">
        <v>221</v>
      </c>
      <c r="B37" s="156">
        <f>B25+B31</f>
        <v>17017000</v>
      </c>
      <c r="C37" s="136">
        <f>B37/B39*100</f>
        <v>87.19959005892903</v>
      </c>
      <c r="D37" s="109"/>
      <c r="E37" s="142"/>
      <c r="F37" s="143"/>
      <c r="G37" s="161"/>
      <c r="H37" s="137">
        <f t="shared" si="0"/>
      </c>
    </row>
    <row r="38" spans="1:8" ht="6.75" customHeight="1" thickBot="1">
      <c r="A38" s="123"/>
      <c r="B38" s="110"/>
      <c r="C38" s="137"/>
      <c r="D38" s="107"/>
      <c r="E38" s="129"/>
      <c r="F38" s="124"/>
      <c r="G38" s="110"/>
      <c r="H38" s="125"/>
    </row>
    <row r="39" spans="1:8" ht="16.5" thickBot="1">
      <c r="A39" s="144" t="s">
        <v>245</v>
      </c>
      <c r="B39" s="159">
        <f>B23+B37</f>
        <v>19515000</v>
      </c>
      <c r="C39" s="145">
        <f>C23+C37</f>
        <v>100</v>
      </c>
      <c r="D39" s="109"/>
      <c r="E39" s="144" t="s">
        <v>227</v>
      </c>
      <c r="F39" s="146"/>
      <c r="G39" s="159">
        <f>SUM(G19:G37)</f>
        <v>9023150</v>
      </c>
      <c r="H39" s="147">
        <f>SUM(H18:H38)</f>
        <v>100</v>
      </c>
    </row>
    <row r="40" spans="1:8" s="112" customFormat="1" ht="8.25" customHeight="1" thickBot="1">
      <c r="A40" s="106"/>
      <c r="B40" s="107"/>
      <c r="C40" s="107"/>
      <c r="D40" s="107"/>
      <c r="E40" s="106"/>
      <c r="F40" s="106"/>
      <c r="G40" s="107"/>
      <c r="H40" s="106"/>
    </row>
    <row r="41" spans="1:8" ht="15.75">
      <c r="A41" s="662" t="s">
        <v>228</v>
      </c>
      <c r="B41" s="664">
        <f>'Receita Saúde'!F126</f>
        <v>4939000</v>
      </c>
      <c r="C41" s="666"/>
      <c r="D41" s="106"/>
      <c r="E41" s="148" t="s">
        <v>229</v>
      </c>
      <c r="F41" s="149"/>
      <c r="G41" s="162">
        <f>B41</f>
        <v>4939000</v>
      </c>
      <c r="H41" s="150"/>
    </row>
    <row r="42" spans="1:8" ht="16.5" thickBot="1">
      <c r="A42" s="663"/>
      <c r="B42" s="665"/>
      <c r="C42" s="667"/>
      <c r="D42" s="106"/>
      <c r="E42" s="135" t="s">
        <v>230</v>
      </c>
      <c r="F42" s="151"/>
      <c r="G42" s="163">
        <f>G39-G41</f>
        <v>4084150</v>
      </c>
      <c r="H42" s="152">
        <f>G42/B39</f>
        <v>0.20928260312580066</v>
      </c>
    </row>
    <row r="43" ht="12.75">
      <c r="A43" s="1" t="s">
        <v>485</v>
      </c>
    </row>
    <row r="45" spans="5:8" ht="21">
      <c r="E45" s="113" t="s">
        <v>479</v>
      </c>
      <c r="G45" s="655">
        <f>(B39*15%)+B41</f>
        <v>7866250</v>
      </c>
      <c r="H45" s="655"/>
    </row>
    <row r="50" ht="12.75">
      <c r="C50" s="1" t="s">
        <v>1042</v>
      </c>
    </row>
  </sheetData>
  <sheetProtection/>
  <mergeCells count="20">
    <mergeCell ref="A11:H11"/>
    <mergeCell ref="A12:C13"/>
    <mergeCell ref="G45:H45"/>
    <mergeCell ref="A14:C16"/>
    <mergeCell ref="A41:A42"/>
    <mergeCell ref="B41:B42"/>
    <mergeCell ref="C41:C42"/>
    <mergeCell ref="E14:H16"/>
    <mergeCell ref="E17:F17"/>
    <mergeCell ref="E12:H13"/>
    <mergeCell ref="A10:H10"/>
    <mergeCell ref="A1:H1"/>
    <mergeCell ref="A2:H2"/>
    <mergeCell ref="A8:H8"/>
    <mergeCell ref="A9:H9"/>
    <mergeCell ref="A7:H7"/>
    <mergeCell ref="A3:H3"/>
    <mergeCell ref="A5:H5"/>
    <mergeCell ref="A6:H6"/>
    <mergeCell ref="A4:H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AB76"/>
  <sheetViews>
    <sheetView tabSelected="1" view="pageBreakPreview" zoomScaleNormal="70" zoomScaleSheetLayoutView="100" zoomScalePageLayoutView="0" workbookViewId="0" topLeftCell="A28">
      <selection activeCell="J10" sqref="J10"/>
    </sheetView>
  </sheetViews>
  <sheetFormatPr defaultColWidth="9.140625" defaultRowHeight="12.75" outlineLevelRow="1"/>
  <cols>
    <col min="1" max="1" width="71.57421875" style="1" bestFit="1" customWidth="1"/>
    <col min="2" max="2" width="18.7109375" style="1" bestFit="1" customWidth="1"/>
    <col min="3" max="3" width="10.00390625" style="1" customWidth="1"/>
    <col min="4" max="4" width="2.28125" style="108" customWidth="1"/>
    <col min="5" max="5" width="9.28125" style="1" bestFit="1" customWidth="1"/>
    <col min="6" max="6" width="50.28125" style="1" customWidth="1"/>
    <col min="7" max="7" width="19.421875" style="22" customWidth="1"/>
    <col min="8" max="8" width="11.140625" style="1" bestFit="1" customWidth="1"/>
    <col min="9" max="9" width="4.8515625" style="1" customWidth="1"/>
    <col min="10" max="10" width="11.8515625" style="1" hidden="1" customWidth="1"/>
    <col min="11" max="15" width="9.140625" style="1" customWidth="1"/>
    <col min="16" max="16" width="52.7109375" style="1" bestFit="1" customWidth="1"/>
    <col min="17" max="17" width="15.7109375" style="1" bestFit="1" customWidth="1"/>
    <col min="18" max="26" width="9.140625" style="1" customWidth="1"/>
    <col min="27" max="27" width="55.28125" style="1" bestFit="1" customWidth="1"/>
    <col min="28" max="28" width="44.00390625" style="1" bestFit="1" customWidth="1"/>
    <col min="29" max="16384" width="9.140625" style="1" customWidth="1"/>
  </cols>
  <sheetData>
    <row r="1" spans="1:8" ht="15.75">
      <c r="A1" s="698"/>
      <c r="B1" s="698"/>
      <c r="C1" s="698"/>
      <c r="D1" s="698"/>
      <c r="E1" s="698"/>
      <c r="F1" s="698"/>
      <c r="G1" s="698"/>
      <c r="H1" s="698"/>
    </row>
    <row r="2" spans="1:8" ht="15" customHeight="1">
      <c r="A2" s="698"/>
      <c r="B2" s="698"/>
      <c r="C2" s="698"/>
      <c r="D2" s="698"/>
      <c r="E2" s="698"/>
      <c r="F2" s="698"/>
      <c r="G2" s="698"/>
      <c r="H2" s="698"/>
    </row>
    <row r="3" spans="1:8" ht="15" customHeight="1">
      <c r="A3" s="699"/>
      <c r="B3" s="699"/>
      <c r="C3" s="699"/>
      <c r="D3" s="699"/>
      <c r="E3" s="699"/>
      <c r="F3" s="699"/>
      <c r="G3" s="699"/>
      <c r="H3" s="699"/>
    </row>
    <row r="4" spans="1:8" ht="15" customHeight="1">
      <c r="A4" s="699"/>
      <c r="B4" s="699"/>
      <c r="C4" s="699"/>
      <c r="D4" s="699"/>
      <c r="E4" s="699"/>
      <c r="F4" s="699"/>
      <c r="G4" s="699"/>
      <c r="H4" s="699"/>
    </row>
    <row r="5" spans="1:8" ht="15" customHeight="1">
      <c r="A5" s="647"/>
      <c r="B5" s="647"/>
      <c r="C5" s="647"/>
      <c r="D5" s="647"/>
      <c r="E5" s="647"/>
      <c r="F5" s="647"/>
      <c r="G5" s="647"/>
      <c r="H5" s="647"/>
    </row>
    <row r="6" spans="1:8" ht="15" customHeight="1">
      <c r="A6" s="700"/>
      <c r="B6" s="700"/>
      <c r="C6" s="700"/>
      <c r="D6" s="700"/>
      <c r="E6" s="700"/>
      <c r="F6" s="700"/>
      <c r="G6" s="700"/>
      <c r="H6" s="700"/>
    </row>
    <row r="7" spans="1:8" ht="15.75">
      <c r="A7" s="644" t="s">
        <v>201</v>
      </c>
      <c r="B7" s="644"/>
      <c r="C7" s="644"/>
      <c r="D7" s="644"/>
      <c r="E7" s="644"/>
      <c r="F7" s="644"/>
      <c r="G7" s="644"/>
      <c r="H7" s="644"/>
    </row>
    <row r="8" spans="1:8" ht="15.75">
      <c r="A8" s="644" t="s">
        <v>202</v>
      </c>
      <c r="B8" s="644"/>
      <c r="C8" s="644"/>
      <c r="D8" s="644"/>
      <c r="E8" s="644"/>
      <c r="F8" s="644"/>
      <c r="G8" s="644"/>
      <c r="H8" s="644"/>
    </row>
    <row r="9" spans="1:8" ht="15.75">
      <c r="A9" s="645" t="s">
        <v>203</v>
      </c>
      <c r="B9" s="645"/>
      <c r="C9" s="645"/>
      <c r="D9" s="645"/>
      <c r="E9" s="645"/>
      <c r="F9" s="645"/>
      <c r="G9" s="645"/>
      <c r="H9" s="645"/>
    </row>
    <row r="10" spans="1:8" ht="13.5" thickBot="1">
      <c r="A10" s="648"/>
      <c r="B10" s="648"/>
      <c r="C10" s="648"/>
      <c r="D10" s="648"/>
      <c r="E10" s="648"/>
      <c r="F10" s="648"/>
      <c r="G10" s="648"/>
      <c r="H10" s="648"/>
    </row>
    <row r="11" spans="1:8" ht="11.25" customHeight="1">
      <c r="A11" s="649" t="s">
        <v>204</v>
      </c>
      <c r="B11" s="650"/>
      <c r="C11" s="651"/>
      <c r="D11" s="102"/>
      <c r="E11" s="649" t="s">
        <v>205</v>
      </c>
      <c r="F11" s="650"/>
      <c r="G11" s="650"/>
      <c r="H11" s="651"/>
    </row>
    <row r="12" spans="1:8" ht="12.75" customHeight="1">
      <c r="A12" s="695"/>
      <c r="B12" s="696"/>
      <c r="C12" s="697"/>
      <c r="D12" s="164"/>
      <c r="E12" s="695"/>
      <c r="F12" s="696"/>
      <c r="G12" s="696"/>
      <c r="H12" s="697"/>
    </row>
    <row r="13" spans="1:8" ht="6.75" customHeight="1">
      <c r="A13" s="679" t="s">
        <v>206</v>
      </c>
      <c r="B13" s="680"/>
      <c r="C13" s="681"/>
      <c r="D13" s="165"/>
      <c r="E13" s="679" t="s">
        <v>645</v>
      </c>
      <c r="F13" s="680"/>
      <c r="G13" s="680"/>
      <c r="H13" s="681"/>
    </row>
    <row r="14" spans="1:8" ht="6.75" customHeight="1">
      <c r="A14" s="682"/>
      <c r="B14" s="683"/>
      <c r="C14" s="684"/>
      <c r="D14" s="165"/>
      <c r="E14" s="682"/>
      <c r="F14" s="683"/>
      <c r="G14" s="683"/>
      <c r="H14" s="684"/>
    </row>
    <row r="15" spans="1:8" ht="6.75" customHeight="1">
      <c r="A15" s="682"/>
      <c r="B15" s="683"/>
      <c r="C15" s="684"/>
      <c r="D15" s="165"/>
      <c r="E15" s="685"/>
      <c r="F15" s="686"/>
      <c r="G15" s="686"/>
      <c r="H15" s="687"/>
    </row>
    <row r="16" spans="1:8" ht="15.75">
      <c r="A16" s="120" t="s">
        <v>207</v>
      </c>
      <c r="B16" s="121" t="s">
        <v>208</v>
      </c>
      <c r="C16" s="122" t="s">
        <v>209</v>
      </c>
      <c r="D16" s="105"/>
      <c r="E16" s="668" t="s">
        <v>207</v>
      </c>
      <c r="F16" s="669"/>
      <c r="G16" s="166" t="s">
        <v>208</v>
      </c>
      <c r="H16" s="122" t="s">
        <v>209</v>
      </c>
    </row>
    <row r="17" spans="1:8" ht="6" customHeight="1" thickBot="1">
      <c r="A17" s="123"/>
      <c r="B17" s="124"/>
      <c r="C17" s="125"/>
      <c r="D17" s="106"/>
      <c r="E17" s="123"/>
      <c r="F17" s="124"/>
      <c r="G17" s="167"/>
      <c r="H17" s="125"/>
    </row>
    <row r="18" spans="1:8" ht="13.5" customHeight="1">
      <c r="A18" s="126" t="s">
        <v>210</v>
      </c>
      <c r="B18" s="153">
        <f>'Receita Prefeitura'!I9</f>
        <v>1991000</v>
      </c>
      <c r="C18" s="128">
        <f>B18/B38*100</f>
        <v>10.202408403791955</v>
      </c>
      <c r="D18" s="107"/>
      <c r="E18" s="131"/>
      <c r="F18" s="132"/>
      <c r="G18" s="160"/>
      <c r="H18" s="130"/>
    </row>
    <row r="19" spans="1:27" ht="13.5" customHeight="1">
      <c r="A19" s="129" t="s">
        <v>211</v>
      </c>
      <c r="B19" s="154">
        <f>SUM('Receita Prefeitura'!I396:I398)</f>
        <v>504000</v>
      </c>
      <c r="C19" s="130">
        <f>B19/B38*100</f>
        <v>2.5826287471176017</v>
      </c>
      <c r="D19" s="107"/>
      <c r="E19" s="131"/>
      <c r="F19" s="132"/>
      <c r="G19" s="160"/>
      <c r="H19" s="130">
        <f>IF(G21=0,"",G21/$G$44*100)</f>
      </c>
      <c r="AA19" s="463" t="s">
        <v>1005</v>
      </c>
    </row>
    <row r="20" spans="1:28" ht="13.5" customHeight="1">
      <c r="A20" s="129" t="s">
        <v>644</v>
      </c>
      <c r="B20" s="154">
        <f>SUM('Receita Prefeitura'!I334:I336)+SUM('Receita Prefeitura'!I350:I352)</f>
        <v>3000</v>
      </c>
      <c r="C20" s="130">
        <f>B20/B38*100</f>
        <v>0.015372790161414298</v>
      </c>
      <c r="E20" s="688" t="s">
        <v>1009</v>
      </c>
      <c r="F20" s="689"/>
      <c r="G20" s="160">
        <v>484000</v>
      </c>
      <c r="H20" s="130">
        <f>IF(G20=0,"",G20/$G$44*100)</f>
        <v>2.284042377480475</v>
      </c>
      <c r="I20" s="455"/>
      <c r="J20" s="1" t="b">
        <v>1</v>
      </c>
      <c r="AA20" s="457" t="s">
        <v>1006</v>
      </c>
      <c r="AB20" s="132"/>
    </row>
    <row r="21" spans="1:28" ht="13.5" customHeight="1">
      <c r="A21" s="134"/>
      <c r="B21" s="154"/>
      <c r="C21" s="168"/>
      <c r="E21" s="131"/>
      <c r="F21" s="132"/>
      <c r="G21" s="160"/>
      <c r="H21" s="130">
        <f>IF(G23=0,"",G23/$G$44*100)</f>
      </c>
      <c r="AA21" s="458" t="s">
        <v>1007</v>
      </c>
      <c r="AB21" s="132"/>
    </row>
    <row r="22" spans="1:28" ht="13.5" customHeight="1" thickBot="1">
      <c r="A22" s="135" t="s">
        <v>212</v>
      </c>
      <c r="B22" s="156">
        <f>SUM(B18:B20)</f>
        <v>2498000</v>
      </c>
      <c r="C22" s="136">
        <f>B22/B38*100</f>
        <v>12.80040994107097</v>
      </c>
      <c r="E22" s="688" t="s">
        <v>1010</v>
      </c>
      <c r="F22" s="689"/>
      <c r="G22" s="420">
        <v>18494500</v>
      </c>
      <c r="H22" s="130">
        <f>IF(G22=0,"",G22/$G$44*100)</f>
        <v>87.2773176659352</v>
      </c>
      <c r="I22" s="455"/>
      <c r="J22" s="1" t="b">
        <v>0</v>
      </c>
      <c r="AA22" s="458" t="s">
        <v>1008</v>
      </c>
      <c r="AB22" s="419"/>
    </row>
    <row r="23" spans="1:28" ht="13.5" customHeight="1" thickBot="1">
      <c r="A23" s="123"/>
      <c r="B23" s="110"/>
      <c r="C23" s="137"/>
      <c r="E23" s="421"/>
      <c r="F23" s="419"/>
      <c r="G23" s="420"/>
      <c r="H23" s="130">
        <f>IF(G25=0,"",G25/$G$44*100)</f>
      </c>
      <c r="AA23" s="458" t="s">
        <v>1009</v>
      </c>
      <c r="AB23" s="419"/>
    </row>
    <row r="24" spans="1:28" ht="13.5" customHeight="1">
      <c r="A24" s="138" t="s">
        <v>213</v>
      </c>
      <c r="B24" s="157">
        <f>SUM(B26:B28)</f>
        <v>13961000</v>
      </c>
      <c r="C24" s="139">
        <f>B24/B38*100</f>
        <v>71.539841147835</v>
      </c>
      <c r="E24" s="688" t="s">
        <v>1011</v>
      </c>
      <c r="F24" s="689"/>
      <c r="G24" s="420">
        <v>144000</v>
      </c>
      <c r="H24" s="130">
        <f>IF(G24=0,"",G24/$G$44*100)</f>
        <v>0.6795497982586537</v>
      </c>
      <c r="I24" s="455"/>
      <c r="J24" s="1" t="b">
        <v>1</v>
      </c>
      <c r="AA24" s="458" t="s">
        <v>1008</v>
      </c>
      <c r="AB24" s="419"/>
    </row>
    <row r="25" spans="1:28" ht="13.5" customHeight="1">
      <c r="A25" s="129"/>
      <c r="B25" s="154"/>
      <c r="C25" s="130"/>
      <c r="E25" s="421"/>
      <c r="F25" s="419"/>
      <c r="G25" s="420"/>
      <c r="H25" s="130">
        <f>IF(G27=0,"",G27/$G$44*100)</f>
      </c>
      <c r="AA25" s="458" t="s">
        <v>1010</v>
      </c>
      <c r="AB25" s="419"/>
    </row>
    <row r="26" spans="1:28" ht="13.5" customHeight="1">
      <c r="A26" s="129" t="s">
        <v>214</v>
      </c>
      <c r="B26" s="154">
        <f>'Receita Prefeitura'!I188</f>
        <v>13945000</v>
      </c>
      <c r="C26" s="130">
        <f>B26/B38*100</f>
        <v>71.45785293364078</v>
      </c>
      <c r="E26" s="688" t="s">
        <v>1012</v>
      </c>
      <c r="F26" s="689"/>
      <c r="G26" s="420">
        <v>43000</v>
      </c>
      <c r="H26" s="130">
        <f>IF(G26=0,"",G26/$G$44*100)</f>
        <v>0.20292112031334797</v>
      </c>
      <c r="I26" s="455"/>
      <c r="J26" s="1" t="b">
        <v>1</v>
      </c>
      <c r="AA26" s="458" t="s">
        <v>1011</v>
      </c>
      <c r="AB26" s="419"/>
    </row>
    <row r="27" spans="1:28" ht="13.5" customHeight="1">
      <c r="A27" s="129" t="s">
        <v>215</v>
      </c>
      <c r="B27" s="154">
        <f>'Receita Prefeitura'!I190</f>
        <v>7000</v>
      </c>
      <c r="C27" s="130">
        <f>B27/B38*100</f>
        <v>0.03586984370996669</v>
      </c>
      <c r="E27" s="421"/>
      <c r="F27" s="419"/>
      <c r="G27" s="420"/>
      <c r="H27" s="130">
        <f>IF(G29=0,"",G29/$G$44*100)</f>
      </c>
      <c r="AA27" s="458" t="s">
        <v>1012</v>
      </c>
      <c r="AB27" s="419"/>
    </row>
    <row r="28" spans="1:28" ht="13.5" customHeight="1">
      <c r="A28" s="129" t="s">
        <v>216</v>
      </c>
      <c r="B28" s="154">
        <f>'Receita Prefeitura'!I278</f>
        <v>9000</v>
      </c>
      <c r="C28" s="130">
        <f>B28/B38*100</f>
        <v>0.04611837048424289</v>
      </c>
      <c r="E28" s="688" t="s">
        <v>1013</v>
      </c>
      <c r="F28" s="689"/>
      <c r="G28" s="420">
        <v>245000</v>
      </c>
      <c r="H28" s="130">
        <f>IF(G28=0,"",G28/$G$44*100)</f>
        <v>1.1561784762039593</v>
      </c>
      <c r="I28" s="455"/>
      <c r="J28" s="1" t="b">
        <v>1</v>
      </c>
      <c r="AA28" s="458" t="s">
        <v>1010</v>
      </c>
      <c r="AB28" s="419"/>
    </row>
    <row r="29" spans="1:28" ht="13.5" customHeight="1">
      <c r="A29" s="129"/>
      <c r="B29" s="154"/>
      <c r="C29" s="130"/>
      <c r="E29" s="421"/>
      <c r="F29" s="419"/>
      <c r="G29" s="420"/>
      <c r="H29" s="130">
        <f>IF(G31=0,"",G31/$G$44*100)</f>
      </c>
      <c r="AA29" s="458" t="s">
        <v>1013</v>
      </c>
      <c r="AB29" s="419"/>
    </row>
    <row r="30" spans="1:28" ht="13.5" customHeight="1">
      <c r="A30" s="140" t="s">
        <v>217</v>
      </c>
      <c r="B30" s="158">
        <f>SUM(B32:B34)</f>
        <v>3056000</v>
      </c>
      <c r="C30" s="141">
        <f>B30/B38*100</f>
        <v>15.659748911094029</v>
      </c>
      <c r="E30" s="688" t="s">
        <v>1014</v>
      </c>
      <c r="F30" s="689"/>
      <c r="G30" s="420">
        <v>1615000</v>
      </c>
      <c r="H30" s="130">
        <f>IF(G30=0,"",G30/$G$44*100)</f>
        <v>7.62133975130365</v>
      </c>
      <c r="I30" s="455"/>
      <c r="J30" s="1" t="b">
        <v>0</v>
      </c>
      <c r="AA30" s="458" t="s">
        <v>1014</v>
      </c>
      <c r="AB30" s="419"/>
    </row>
    <row r="31" spans="1:28" ht="13.5" customHeight="1">
      <c r="A31" s="129"/>
      <c r="B31" s="154"/>
      <c r="C31" s="130"/>
      <c r="E31" s="421"/>
      <c r="F31" s="419"/>
      <c r="G31" s="420"/>
      <c r="H31" s="130">
        <f>IF(G33=0,"",G33/$G$44*100)</f>
      </c>
      <c r="AA31" s="458" t="s">
        <v>1015</v>
      </c>
      <c r="AB31" s="419"/>
    </row>
    <row r="32" spans="1:28" ht="13.5" customHeight="1">
      <c r="A32" s="129" t="s">
        <v>218</v>
      </c>
      <c r="B32" s="154">
        <f>'Receita Prefeitura'!I286</f>
        <v>533000</v>
      </c>
      <c r="C32" s="130">
        <f>B32/B38*100</f>
        <v>2.7312323853446068</v>
      </c>
      <c r="E32" s="688" t="s">
        <v>1015</v>
      </c>
      <c r="F32" s="689"/>
      <c r="G32" s="420">
        <v>157000</v>
      </c>
      <c r="H32" s="130">
        <f>IF(G32=0,"",G32/$G$44*100)</f>
        <v>0.7408980439347821</v>
      </c>
      <c r="I32" s="455"/>
      <c r="J32" s="1" t="b">
        <v>0</v>
      </c>
      <c r="AA32" s="458" t="s">
        <v>1012</v>
      </c>
      <c r="AB32" s="419"/>
    </row>
    <row r="33" spans="1:28" ht="13.5" customHeight="1">
      <c r="A33" s="129" t="s">
        <v>219</v>
      </c>
      <c r="B33" s="154">
        <f>'Receita Prefeitura'!I284</f>
        <v>2517000</v>
      </c>
      <c r="C33" s="130">
        <f>B33/B38*100</f>
        <v>12.897770945426595</v>
      </c>
      <c r="E33" s="421"/>
      <c r="F33" s="419"/>
      <c r="G33" s="420"/>
      <c r="H33" s="130">
        <f>IF(G35=0,"",G35/$G$44*100)</f>
      </c>
      <c r="AA33" s="458" t="s">
        <v>1016</v>
      </c>
      <c r="AB33" s="419"/>
    </row>
    <row r="34" spans="1:28" ht="13.5" customHeight="1">
      <c r="A34" s="129" t="s">
        <v>220</v>
      </c>
      <c r="B34" s="154">
        <f>'Receita Prefeitura'!I288</f>
        <v>6000</v>
      </c>
      <c r="C34" s="130">
        <f>B34/B38*100</f>
        <v>0.030745580322828595</v>
      </c>
      <c r="E34" s="688" t="s">
        <v>1016</v>
      </c>
      <c r="F34" s="689"/>
      <c r="G34" s="420">
        <v>8000</v>
      </c>
      <c r="H34" s="130">
        <f>IF(G34=0,"",G34/$G$44*100)</f>
        <v>0.037752766569925204</v>
      </c>
      <c r="I34" s="455"/>
      <c r="J34" s="1" t="b">
        <v>0</v>
      </c>
      <c r="AA34" s="458" t="s">
        <v>1017</v>
      </c>
      <c r="AB34" s="419"/>
    </row>
    <row r="35" spans="1:28" ht="13.5" customHeight="1">
      <c r="A35" s="129"/>
      <c r="B35" s="154"/>
      <c r="C35" s="130"/>
      <c r="E35" s="421"/>
      <c r="F35" s="419"/>
      <c r="G35" s="420"/>
      <c r="H35" s="130">
        <f>IF(G37=0,"",G37/$G$44*100)</f>
      </c>
      <c r="AA35" s="459"/>
      <c r="AB35" s="419"/>
    </row>
    <row r="36" spans="1:28" ht="13.5" customHeight="1" thickBot="1">
      <c r="A36" s="135" t="s">
        <v>221</v>
      </c>
      <c r="B36" s="156">
        <f>B24+B30</f>
        <v>17017000</v>
      </c>
      <c r="C36" s="136">
        <f>B36/B38*100</f>
        <v>87.19959005892903</v>
      </c>
      <c r="D36" s="107"/>
      <c r="E36" s="688"/>
      <c r="F36" s="689"/>
      <c r="G36" s="420"/>
      <c r="H36" s="130">
        <f>IF(G36=0,"",G36/$G$44*100)</f>
      </c>
      <c r="I36" s="455"/>
      <c r="J36" s="1" t="b">
        <v>0</v>
      </c>
      <c r="AA36" s="460"/>
      <c r="AB36" s="419"/>
    </row>
    <row r="37" spans="1:28" ht="9.75" customHeight="1" thickBot="1">
      <c r="A37" s="123"/>
      <c r="B37" s="110"/>
      <c r="C37" s="137"/>
      <c r="D37" s="106"/>
      <c r="E37" s="421"/>
      <c r="F37" s="419"/>
      <c r="G37" s="420"/>
      <c r="H37" s="130">
        <f>IF(G39=0,"",G39/$G$44*100)</f>
      </c>
      <c r="AA37" s="461"/>
      <c r="AB37" s="419"/>
    </row>
    <row r="38" spans="1:28" ht="16.5" thickBot="1">
      <c r="A38" s="144" t="s">
        <v>245</v>
      </c>
      <c r="B38" s="159">
        <f>B22+B36</f>
        <v>19515000</v>
      </c>
      <c r="C38" s="145">
        <f>C22+C36</f>
        <v>100</v>
      </c>
      <c r="D38" s="109"/>
      <c r="E38" s="688"/>
      <c r="F38" s="689"/>
      <c r="G38" s="420"/>
      <c r="H38" s="130">
        <f>IF(G38=0,"",G38/$G$44*100)</f>
      </c>
      <c r="I38" s="455"/>
      <c r="J38" s="1" t="b">
        <v>0</v>
      </c>
      <c r="AA38" s="450"/>
      <c r="AB38" s="419"/>
    </row>
    <row r="39" spans="1:28" ht="10.5" customHeight="1" thickBot="1">
      <c r="A39" s="106"/>
      <c r="B39" s="107"/>
      <c r="C39" s="107"/>
      <c r="D39" s="107"/>
      <c r="E39" s="449"/>
      <c r="F39" s="419"/>
      <c r="G39" s="420"/>
      <c r="H39" s="130"/>
      <c r="AA39" s="448"/>
      <c r="AB39" s="419"/>
    </row>
    <row r="40" spans="1:28" s="114" customFormat="1" ht="15.75">
      <c r="A40" s="171" t="s">
        <v>597</v>
      </c>
      <c r="B40" s="172">
        <f>'Receita Prefeitura'!I303</f>
        <v>13895000</v>
      </c>
      <c r="C40" s="173"/>
      <c r="D40" s="109"/>
      <c r="E40" s="688"/>
      <c r="F40" s="689"/>
      <c r="G40" s="420"/>
      <c r="H40" s="130">
        <f>IF(G40=0,"",G40/$G$44*100)</f>
      </c>
      <c r="I40" s="456"/>
      <c r="J40" s="1" t="b">
        <v>0</v>
      </c>
      <c r="AA40" s="450"/>
      <c r="AB40" s="419"/>
    </row>
    <row r="41" spans="1:27" s="114" customFormat="1" ht="15.75">
      <c r="A41" s="175" t="s">
        <v>598</v>
      </c>
      <c r="B41" s="176">
        <f>SUM('Receita Prefeitura'!I189,'Receita Prefeitura'!I191,'Receita Prefeitura'!I279,'Receita Prefeitura'!I285,'Receita Prefeitura'!I287,'Receita Prefeitura'!I289)</f>
        <v>-3403400</v>
      </c>
      <c r="C41" s="177"/>
      <c r="D41" s="109"/>
      <c r="E41" s="449"/>
      <c r="F41" s="132"/>
      <c r="G41" s="160"/>
      <c r="H41" s="130">
        <f>IF(G41=0,"",G41/$G$44*100)</f>
      </c>
      <c r="AA41" s="462"/>
    </row>
    <row r="42" spans="1:27" s="114" customFormat="1" ht="15.75">
      <c r="A42" s="175" t="s">
        <v>599</v>
      </c>
      <c r="B42" s="176">
        <f>B40+B41</f>
        <v>10491600</v>
      </c>
      <c r="C42" s="177"/>
      <c r="D42" s="109"/>
      <c r="E42" s="688"/>
      <c r="F42" s="689"/>
      <c r="G42" s="160"/>
      <c r="H42" s="130">
        <f>IF(G42=0,"",G42/$G$44*100)</f>
      </c>
      <c r="I42" s="456"/>
      <c r="J42" s="1" t="b">
        <v>0</v>
      </c>
      <c r="AA42" s="462"/>
    </row>
    <row r="43" spans="1:27" s="114" customFormat="1" ht="16.5" thickBot="1">
      <c r="A43" s="179" t="s">
        <v>693</v>
      </c>
      <c r="B43" s="176">
        <f>SUM('Receita Prefeitura'!I109,'Receita Prefeitura'!I264,'Receita Prefeitura'!I313,'Receita Prefeitura'!I322,'Receita Prefeitura'!I437,'Receita Prefeitura'!I442,'Receita Prefeitura'!I449,'Receita Prefeitura'!I458-'Receita Prefeitura'!I267-'Receita Prefeitura'!I271-'Receita Prefeitura'!I272-'Receita Prefeitura'!I273-'Receita Prefeitura'!I274)</f>
        <v>4845000</v>
      </c>
      <c r="C43" s="177"/>
      <c r="D43" s="107"/>
      <c r="E43" s="131"/>
      <c r="F43" s="132"/>
      <c r="G43" s="160"/>
      <c r="H43" s="130">
        <f>IF(G43=0,"",G43/$G$44*100)</f>
      </c>
      <c r="AA43" s="462"/>
    </row>
    <row r="44" spans="1:27" s="114" customFormat="1" ht="16.5" thickBot="1">
      <c r="A44" s="195"/>
      <c r="B44" s="195"/>
      <c r="C44" s="195"/>
      <c r="D44" s="107"/>
      <c r="E44" s="144" t="s">
        <v>246</v>
      </c>
      <c r="F44" s="146"/>
      <c r="G44" s="159">
        <f>SUM(G20:G43)</f>
        <v>21190500</v>
      </c>
      <c r="H44" s="169">
        <f>SUM(H18:H43)</f>
        <v>99.99999999999999</v>
      </c>
      <c r="AA44" s="462"/>
    </row>
    <row r="45" spans="1:27" s="114" customFormat="1" ht="6" customHeight="1" thickBot="1">
      <c r="A45" s="196"/>
      <c r="B45" s="196"/>
      <c r="C45" s="196"/>
      <c r="D45" s="107"/>
      <c r="E45" s="106"/>
      <c r="F45" s="106"/>
      <c r="G45" s="170"/>
      <c r="H45" s="106"/>
      <c r="AA45" s="462"/>
    </row>
    <row r="46" spans="1:27" s="114" customFormat="1" ht="15.75">
      <c r="A46" s="662" t="s">
        <v>1022</v>
      </c>
      <c r="B46" s="693"/>
      <c r="C46" s="694"/>
      <c r="D46" s="107"/>
      <c r="E46" s="148" t="s">
        <v>212</v>
      </c>
      <c r="F46" s="149"/>
      <c r="G46" s="162">
        <f>G44</f>
        <v>21190500</v>
      </c>
      <c r="H46" s="174">
        <f>G46/B38</f>
        <v>1.085857033051499</v>
      </c>
      <c r="AA46" s="462"/>
    </row>
    <row r="47" spans="1:27" s="114" customFormat="1" ht="15.75" customHeight="1">
      <c r="A47" s="690" t="s">
        <v>1018</v>
      </c>
      <c r="B47" s="691"/>
      <c r="C47" s="692"/>
      <c r="D47" s="107"/>
      <c r="E47" s="129" t="s">
        <v>604</v>
      </c>
      <c r="F47" s="106"/>
      <c r="G47" s="170">
        <f>B42</f>
        <v>10491600</v>
      </c>
      <c r="H47" s="178"/>
      <c r="AA47" s="462"/>
    </row>
    <row r="48" spans="1:27" s="114" customFormat="1" ht="15.75" customHeight="1">
      <c r="A48" s="670" t="s">
        <v>1046</v>
      </c>
      <c r="B48" s="671"/>
      <c r="C48" s="672"/>
      <c r="D48" s="109"/>
      <c r="E48" s="677" t="s">
        <v>694</v>
      </c>
      <c r="F48" s="678"/>
      <c r="G48" s="170">
        <f>B43</f>
        <v>4845000</v>
      </c>
      <c r="H48" s="178"/>
      <c r="AA48" s="462"/>
    </row>
    <row r="49" spans="1:8" s="114" customFormat="1" ht="15.75" customHeight="1">
      <c r="A49" s="673"/>
      <c r="B49" s="671"/>
      <c r="C49" s="672"/>
      <c r="D49" s="109"/>
      <c r="E49" s="454" t="s">
        <v>1004</v>
      </c>
      <c r="F49" s="453"/>
      <c r="G49" s="170">
        <f>SUM(G50:G61)</f>
        <v>916000</v>
      </c>
      <c r="H49" s="178"/>
    </row>
    <row r="50" spans="1:17" s="114" customFormat="1" ht="15.75" customHeight="1" hidden="1" outlineLevel="1">
      <c r="A50" s="673"/>
      <c r="B50" s="671"/>
      <c r="C50" s="672"/>
      <c r="D50" s="107"/>
      <c r="E50" s="180" t="s">
        <v>665</v>
      </c>
      <c r="F50" s="466" t="str">
        <f>IF($J$20=TRUE,$E$20,"")</f>
        <v> 12.306  ALIMENTAÇÃO E NUTRIÇÃO</v>
      </c>
      <c r="G50" s="181">
        <f>IF($J$20=TRUE,$G$20,0)</f>
        <v>484000</v>
      </c>
      <c r="H50" s="178"/>
      <c r="P50" s="466" t="str">
        <f>IF($J$20=TRUE,$E$20,"")</f>
        <v> 12.306  ALIMENTAÇÃO E NUTRIÇÃO</v>
      </c>
      <c r="Q50" s="181">
        <f>IF($J$20=TRUE,$G$20,0)</f>
        <v>484000</v>
      </c>
    </row>
    <row r="51" spans="1:17" s="114" customFormat="1" ht="15.75" customHeight="1" hidden="1" outlineLevel="1">
      <c r="A51" s="673"/>
      <c r="B51" s="671"/>
      <c r="C51" s="672"/>
      <c r="D51" s="107"/>
      <c r="E51" s="180" t="str">
        <f>E50</f>
        <v>(-)</v>
      </c>
      <c r="F51" s="466" t="str">
        <f>IF($J$28=TRUE,$E$28,"")</f>
        <v> 12.364  ENSINO SUPERIOR</v>
      </c>
      <c r="G51" s="181">
        <f>IF($J$28=TRUE,$G$28,0)</f>
        <v>245000</v>
      </c>
      <c r="H51" s="178"/>
      <c r="P51" s="466" t="str">
        <f>IF($J$28=TRUE,$E$28,"")</f>
        <v> 12.364  ENSINO SUPERIOR</v>
      </c>
      <c r="Q51" s="181">
        <f>IF($J$28=TRUE,$G$28,0)</f>
        <v>245000</v>
      </c>
    </row>
    <row r="52" spans="1:17" s="114" customFormat="1" ht="15.75" customHeight="1" hidden="1" outlineLevel="1">
      <c r="A52" s="673"/>
      <c r="B52" s="671"/>
      <c r="C52" s="672"/>
      <c r="D52" s="107"/>
      <c r="E52" s="180" t="str">
        <f>E50</f>
        <v>(-)</v>
      </c>
      <c r="F52" s="466">
        <f>IF($J$30=TRUE,$E$30,"")</f>
      </c>
      <c r="G52" s="181">
        <f>IF($J$30=TRUE,$G$30,0)</f>
        <v>0</v>
      </c>
      <c r="H52" s="178"/>
      <c r="P52" s="466">
        <f>IF($J$36=TRUE,$E$36,"")</f>
      </c>
      <c r="Q52" s="181">
        <f>IF($J$36=TRUE,$G$36,0)</f>
        <v>0</v>
      </c>
    </row>
    <row r="53" spans="1:17" ht="15.75" customHeight="1" hidden="1" outlineLevel="1">
      <c r="A53" s="673"/>
      <c r="B53" s="671"/>
      <c r="C53" s="672"/>
      <c r="D53" s="107"/>
      <c r="E53" s="180" t="str">
        <f aca="true" t="shared" si="0" ref="E53:E59">E52</f>
        <v>(-)</v>
      </c>
      <c r="F53" s="466">
        <f>IF($J$22=TRUE,$E$22,"")</f>
      </c>
      <c r="G53" s="181">
        <f>IF($J$22=TRUE,$G$22,0)</f>
        <v>0</v>
      </c>
      <c r="H53" s="178"/>
      <c r="P53" s="466">
        <f>IF($J$38=TRUE,$E$38,"")</f>
      </c>
      <c r="Q53" s="181">
        <f>IF($J$38=TRUE,$G$38,0)</f>
        <v>0</v>
      </c>
    </row>
    <row r="54" spans="1:17" ht="15.75" customHeight="1" hidden="1" outlineLevel="1">
      <c r="A54" s="673"/>
      <c r="B54" s="671"/>
      <c r="C54" s="672"/>
      <c r="D54" s="107"/>
      <c r="E54" s="180" t="str">
        <f t="shared" si="0"/>
        <v>(-)</v>
      </c>
      <c r="F54" s="466" t="str">
        <f>IF($J$24=TRUE,$E$24,"")</f>
        <v> 12.362  ENSINO MÉDIO</v>
      </c>
      <c r="G54" s="181">
        <f>IF($J$24=TRUE,$G$24,0)</f>
        <v>144000</v>
      </c>
      <c r="H54" s="178"/>
      <c r="P54" s="466">
        <f>IF($J$42=TRUE,$E$42,"")</f>
      </c>
      <c r="Q54" s="181">
        <f>IF($J$42=TRUE,$G$42,0)</f>
        <v>0</v>
      </c>
    </row>
    <row r="55" spans="1:17" ht="15.75" customHeight="1" hidden="1" outlineLevel="1">
      <c r="A55" s="673"/>
      <c r="B55" s="671"/>
      <c r="C55" s="672"/>
      <c r="D55" s="107"/>
      <c r="E55" s="180" t="str">
        <f t="shared" si="0"/>
        <v>(-)</v>
      </c>
      <c r="F55" s="466" t="str">
        <f>IF($J$26=TRUE,$E$26,"")</f>
        <v> 12.363  ENSINO PROFISSIONAL</v>
      </c>
      <c r="G55" s="181">
        <f>IF($J$26=TRUE,$G$26,0)</f>
        <v>43000</v>
      </c>
      <c r="H55" s="178"/>
      <c r="P55" s="466">
        <f>IF($J$22=TRUE,$E$22,"")</f>
      </c>
      <c r="Q55" s="181">
        <f>IF($J$22=TRUE,$G$22,0)</f>
        <v>0</v>
      </c>
    </row>
    <row r="56" spans="1:17" ht="15.75" customHeight="1" hidden="1" outlineLevel="1">
      <c r="A56" s="673"/>
      <c r="B56" s="671"/>
      <c r="C56" s="672"/>
      <c r="D56" s="107"/>
      <c r="E56" s="180" t="str">
        <f t="shared" si="0"/>
        <v>(-)</v>
      </c>
      <c r="F56" s="466">
        <f>IF($J$32=TRUE,$E$32,"")</f>
      </c>
      <c r="G56" s="181">
        <f>IF($J$32=TRUE,$G$32,0)</f>
        <v>0</v>
      </c>
      <c r="H56" s="178"/>
      <c r="P56" s="466" t="str">
        <f>IF($J$24=TRUE,$E$24,"")</f>
        <v> 12.362  ENSINO MÉDIO</v>
      </c>
      <c r="Q56" s="181">
        <f>IF($J$24=TRUE,$G$24,0)</f>
        <v>144000</v>
      </c>
    </row>
    <row r="57" spans="1:17" ht="15.75" customHeight="1" hidden="1" outlineLevel="1">
      <c r="A57" s="673"/>
      <c r="B57" s="671"/>
      <c r="C57" s="672"/>
      <c r="D57" s="107"/>
      <c r="E57" s="180" t="str">
        <f t="shared" si="0"/>
        <v>(-)</v>
      </c>
      <c r="F57" s="466">
        <f>IF($J$34=TRUE,$E$34,"")</f>
      </c>
      <c r="G57" s="181">
        <f>IF($J$34=TRUE,$G$34,0)</f>
        <v>0</v>
      </c>
      <c r="H57" s="178"/>
      <c r="P57" s="466" t="str">
        <f>IF($J$26=TRUE,$E$26,"")</f>
        <v> 12.363  ENSINO PROFISSIONAL</v>
      </c>
      <c r="Q57" s="181">
        <f>IF($J$26=TRUE,$G$26,0)</f>
        <v>43000</v>
      </c>
    </row>
    <row r="58" spans="1:17" ht="15.75" customHeight="1" hidden="1" outlineLevel="1">
      <c r="A58" s="673"/>
      <c r="B58" s="671"/>
      <c r="C58" s="672"/>
      <c r="D58" s="107"/>
      <c r="E58" s="180" t="str">
        <f t="shared" si="0"/>
        <v>(-)</v>
      </c>
      <c r="F58" s="466">
        <f>IF($J$36=TRUE,$E$36,"")</f>
      </c>
      <c r="G58" s="181">
        <f>IF($J$36=TRUE,$G$36,0)</f>
        <v>0</v>
      </c>
      <c r="H58" s="178"/>
      <c r="P58" s="466">
        <f>IF($J$30=TRUE,$E$30,"")</f>
      </c>
      <c r="Q58" s="181">
        <f>IF($J$30=TRUE,$G$30,0)</f>
        <v>0</v>
      </c>
    </row>
    <row r="59" spans="1:17" ht="15.75" customHeight="1" hidden="1" outlineLevel="1">
      <c r="A59" s="673"/>
      <c r="B59" s="671"/>
      <c r="C59" s="672"/>
      <c r="D59" s="107"/>
      <c r="E59" s="180" t="str">
        <f t="shared" si="0"/>
        <v>(-)</v>
      </c>
      <c r="F59" s="466">
        <f>IF($J$38=TRUE,$E$38,"")</f>
      </c>
      <c r="G59" s="181">
        <f>IF($J$38=TRUE,$G$38,0)</f>
        <v>0</v>
      </c>
      <c r="H59" s="178"/>
      <c r="P59" s="466">
        <f>IF($J$32=TRUE,$E$32,"")</f>
      </c>
      <c r="Q59" s="181">
        <f>IF($J$32=TRUE,$G$32,0)</f>
        <v>0</v>
      </c>
    </row>
    <row r="60" spans="1:17" ht="15.75" customHeight="1" hidden="1" outlineLevel="1">
      <c r="A60" s="673"/>
      <c r="B60" s="671"/>
      <c r="C60" s="672"/>
      <c r="D60" s="109"/>
      <c r="E60" s="180" t="str">
        <f>E54</f>
        <v>(-)</v>
      </c>
      <c r="F60" s="466">
        <f>IF($J$40=TRUE,$E$40,"")</f>
      </c>
      <c r="G60" s="181">
        <f>IF($J$40=TRUE,$G$40,0)</f>
        <v>0</v>
      </c>
      <c r="H60" s="178"/>
      <c r="P60" s="466">
        <f>IF($J$34=TRUE,$E$34,"")</f>
      </c>
      <c r="Q60" s="181">
        <f>IF($J$34=TRUE,$G$34,0)</f>
        <v>0</v>
      </c>
    </row>
    <row r="61" spans="1:17" ht="15.75" customHeight="1" hidden="1" outlineLevel="1">
      <c r="A61" s="673"/>
      <c r="B61" s="671"/>
      <c r="C61" s="672"/>
      <c r="D61" s="107"/>
      <c r="E61" s="180" t="str">
        <f>E60</f>
        <v>(-)</v>
      </c>
      <c r="F61" s="466">
        <f>IF($J$42=TRUE,$E$42,"")</f>
      </c>
      <c r="G61" s="181">
        <f>IF($J$42=TRUE,$G$42,0)</f>
        <v>0</v>
      </c>
      <c r="H61" s="178"/>
      <c r="P61" s="466">
        <f>IF($J$40=TRUE,$E$40,"")</f>
      </c>
      <c r="Q61" s="181">
        <f>IF($J$40=TRUE,$G$40,0)</f>
        <v>0</v>
      </c>
    </row>
    <row r="62" spans="1:8" ht="16.5" collapsed="1" thickBot="1">
      <c r="A62" s="674"/>
      <c r="B62" s="675"/>
      <c r="C62" s="676"/>
      <c r="D62" s="109"/>
      <c r="E62" s="135" t="s">
        <v>646</v>
      </c>
      <c r="F62" s="151"/>
      <c r="G62" s="163">
        <f>G46-SUM(G47:G49)</f>
        <v>4937900</v>
      </c>
      <c r="H62" s="152">
        <f>G62/B38</f>
        <v>0.2530310017934922</v>
      </c>
    </row>
    <row r="63" ht="15.75">
      <c r="D63" s="107"/>
    </row>
    <row r="64" spans="1:8" ht="18.75">
      <c r="A64" s="467" t="s">
        <v>1019</v>
      </c>
      <c r="D64" s="106"/>
      <c r="E64" s="194"/>
      <c r="F64" s="468" t="s">
        <v>478</v>
      </c>
      <c r="G64" s="469">
        <f>B38*0.25+SUM(G47:G61)</f>
        <v>22047350</v>
      </c>
      <c r="H64" s="193"/>
    </row>
    <row r="65" spans="4:7" ht="15.75">
      <c r="D65" s="106"/>
      <c r="G65" s="1"/>
    </row>
    <row r="66" spans="4:7" ht="15.75">
      <c r="D66" s="106"/>
      <c r="G66" s="1"/>
    </row>
    <row r="67" spans="4:7" ht="15.75">
      <c r="D67" s="106"/>
      <c r="G67" s="1"/>
    </row>
    <row r="68" spans="4:7" ht="15.75">
      <c r="D68" s="106"/>
      <c r="G68" s="1"/>
    </row>
    <row r="69" spans="4:7" ht="15.75">
      <c r="D69" s="106"/>
      <c r="G69" s="1"/>
    </row>
    <row r="70" spans="4:7" ht="15.75">
      <c r="D70" s="106"/>
      <c r="G70" s="1"/>
    </row>
    <row r="71" ht="15.75">
      <c r="D71" s="106"/>
    </row>
    <row r="72" ht="15.75">
      <c r="D72" s="106"/>
    </row>
    <row r="73" ht="15.75">
      <c r="D73" s="106"/>
    </row>
    <row r="74" ht="15.75">
      <c r="D74" s="106"/>
    </row>
    <row r="76" ht="12.75">
      <c r="D76" s="1"/>
    </row>
  </sheetData>
  <sheetProtection/>
  <mergeCells count="31">
    <mergeCell ref="A10:H10"/>
    <mergeCell ref="E22:F22"/>
    <mergeCell ref="A8:H8"/>
    <mergeCell ref="E24:F24"/>
    <mergeCell ref="A1:H1"/>
    <mergeCell ref="A2:H2"/>
    <mergeCell ref="A4:H4"/>
    <mergeCell ref="E11:H12"/>
    <mergeCell ref="A5:H5"/>
    <mergeCell ref="A6:H6"/>
    <mergeCell ref="A3:H3"/>
    <mergeCell ref="E40:F40"/>
    <mergeCell ref="E36:F36"/>
    <mergeCell ref="E30:F30"/>
    <mergeCell ref="E20:F20"/>
    <mergeCell ref="E38:F38"/>
    <mergeCell ref="A7:H7"/>
    <mergeCell ref="E16:F16"/>
    <mergeCell ref="A9:H9"/>
    <mergeCell ref="E34:F34"/>
    <mergeCell ref="A11:C12"/>
    <mergeCell ref="A48:C62"/>
    <mergeCell ref="E48:F48"/>
    <mergeCell ref="A13:C15"/>
    <mergeCell ref="E13:H15"/>
    <mergeCell ref="E32:F32"/>
    <mergeCell ref="E42:F42"/>
    <mergeCell ref="E28:F28"/>
    <mergeCell ref="A47:C47"/>
    <mergeCell ref="A46:C46"/>
    <mergeCell ref="E26:F26"/>
  </mergeCells>
  <dataValidations count="2">
    <dataValidation allowBlank="1" showInputMessage="1" showErrorMessage="1" sqref="E41"/>
    <dataValidation type="list" allowBlank="1" showInputMessage="1" showErrorMessage="1" sqref="E42:F42 E20:F20 E22:F22 E24:F24 E26:F26 E28:F28 E30:F30 E32:F32 E36:F36 E38:F38 E40:F40 E34:F34">
      <formula1>$AA$20:$AA$36</formula1>
    </dataValidation>
  </dataValidation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landscape" paperSize="9" scale="71" r:id="rId4"/>
  <ignoredErrors>
    <ignoredError sqref="H20:H37" formula="1"/>
  </ignoredError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/>
  <dimension ref="A1:H25"/>
  <sheetViews>
    <sheetView tabSelected="1" view="pageBreakPreview" zoomScaleNormal="70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45.8515625" style="1" customWidth="1"/>
    <col min="2" max="2" width="15.57421875" style="1" customWidth="1"/>
    <col min="3" max="3" width="9.00390625" style="1" bestFit="1" customWidth="1"/>
    <col min="4" max="4" width="2.57421875" style="1" customWidth="1"/>
    <col min="5" max="5" width="7.28125" style="1" bestFit="1" customWidth="1"/>
    <col min="6" max="6" width="38.57421875" style="1" customWidth="1"/>
    <col min="7" max="7" width="15.7109375" style="1" customWidth="1"/>
    <col min="8" max="8" width="8.8515625" style="1" customWidth="1"/>
    <col min="9" max="16384" width="9.140625" style="1" customWidth="1"/>
  </cols>
  <sheetData>
    <row r="1" spans="1:8" ht="15" customHeight="1">
      <c r="A1" s="716"/>
      <c r="B1" s="716"/>
      <c r="C1" s="716"/>
      <c r="D1" s="716"/>
      <c r="E1" s="716"/>
      <c r="F1" s="716"/>
      <c r="G1" s="716"/>
      <c r="H1" s="716"/>
    </row>
    <row r="2" spans="1:8" ht="15" customHeight="1">
      <c r="A2" s="716"/>
      <c r="B2" s="716"/>
      <c r="C2" s="716"/>
      <c r="D2" s="716"/>
      <c r="E2" s="716"/>
      <c r="F2" s="716"/>
      <c r="G2" s="716"/>
      <c r="H2" s="716"/>
    </row>
    <row r="3" spans="1:8" ht="15" customHeight="1">
      <c r="A3" s="716"/>
      <c r="B3" s="716"/>
      <c r="C3" s="716"/>
      <c r="D3" s="716"/>
      <c r="E3" s="716"/>
      <c r="F3" s="716"/>
      <c r="G3" s="716"/>
      <c r="H3" s="716"/>
    </row>
    <row r="4" spans="1:8" ht="15" customHeight="1">
      <c r="A4" s="716"/>
      <c r="B4" s="716"/>
      <c r="C4" s="716"/>
      <c r="D4" s="716"/>
      <c r="E4" s="716"/>
      <c r="F4" s="716"/>
      <c r="G4" s="716"/>
      <c r="H4" s="716"/>
    </row>
    <row r="5" spans="1:8" ht="15" customHeight="1">
      <c r="A5" s="716"/>
      <c r="B5" s="716"/>
      <c r="C5" s="716"/>
      <c r="D5" s="716"/>
      <c r="E5" s="716"/>
      <c r="F5" s="716"/>
      <c r="G5" s="716"/>
      <c r="H5" s="716"/>
    </row>
    <row r="6" spans="1:8" ht="15" customHeight="1">
      <c r="A6" s="717"/>
      <c r="B6" s="717"/>
      <c r="C6" s="717"/>
      <c r="D6" s="717"/>
      <c r="E6" s="717"/>
      <c r="F6" s="717"/>
      <c r="G6" s="717"/>
      <c r="H6" s="717"/>
    </row>
    <row r="7" spans="1:8" ht="15" customHeight="1">
      <c r="A7" s="581"/>
      <c r="B7" s="581"/>
      <c r="C7" s="581"/>
      <c r="D7" s="581"/>
      <c r="E7" s="581"/>
      <c r="F7" s="581"/>
      <c r="G7" s="581"/>
      <c r="H7" s="581"/>
    </row>
    <row r="8" spans="1:8" ht="15.75">
      <c r="A8" s="701" t="s">
        <v>647</v>
      </c>
      <c r="B8" s="701"/>
      <c r="C8" s="701"/>
      <c r="D8" s="701"/>
      <c r="E8" s="701"/>
      <c r="F8" s="701"/>
      <c r="G8" s="701"/>
      <c r="H8" s="701"/>
    </row>
    <row r="9" spans="1:8" ht="15.75">
      <c r="A9" s="701" t="s">
        <v>480</v>
      </c>
      <c r="B9" s="701"/>
      <c r="C9" s="701"/>
      <c r="D9" s="701"/>
      <c r="E9" s="701"/>
      <c r="F9" s="701"/>
      <c r="G9" s="701"/>
      <c r="H9" s="701"/>
    </row>
    <row r="10" spans="1:8" ht="16.5" thickBot="1">
      <c r="A10" s="702"/>
      <c r="B10" s="702"/>
      <c r="C10" s="702"/>
      <c r="D10" s="702"/>
      <c r="E10" s="702"/>
      <c r="F10" s="702"/>
      <c r="G10" s="702"/>
      <c r="H10" s="702"/>
    </row>
    <row r="11" spans="1:8" ht="15.75">
      <c r="A11" s="703" t="s">
        <v>204</v>
      </c>
      <c r="B11" s="704"/>
      <c r="C11" s="705"/>
      <c r="D11" s="465"/>
      <c r="E11" s="703" t="s">
        <v>205</v>
      </c>
      <c r="F11" s="704"/>
      <c r="G11" s="704"/>
      <c r="H11" s="705"/>
    </row>
    <row r="12" spans="1:8" ht="12.75" customHeight="1">
      <c r="A12" s="685"/>
      <c r="B12" s="686"/>
      <c r="C12" s="687"/>
      <c r="D12" s="165"/>
      <c r="E12" s="685"/>
      <c r="F12" s="686"/>
      <c r="G12" s="686"/>
      <c r="H12" s="687"/>
    </row>
    <row r="13" spans="1:8" ht="12.75" customHeight="1">
      <c r="A13" s="679" t="s">
        <v>649</v>
      </c>
      <c r="B13" s="680"/>
      <c r="C13" s="681"/>
      <c r="D13" s="165"/>
      <c r="E13" s="679" t="s">
        <v>648</v>
      </c>
      <c r="F13" s="680"/>
      <c r="G13" s="680"/>
      <c r="H13" s="681"/>
    </row>
    <row r="14" spans="1:8" ht="12.75" customHeight="1">
      <c r="A14" s="682"/>
      <c r="B14" s="683"/>
      <c r="C14" s="684"/>
      <c r="D14" s="165"/>
      <c r="E14" s="682"/>
      <c r="F14" s="683"/>
      <c r="G14" s="683"/>
      <c r="H14" s="684"/>
    </row>
    <row r="15" spans="1:8" ht="15.75">
      <c r="A15" s="685"/>
      <c r="B15" s="686"/>
      <c r="C15" s="687"/>
      <c r="D15" s="165"/>
      <c r="E15" s="685"/>
      <c r="F15" s="686"/>
      <c r="G15" s="686"/>
      <c r="H15" s="687"/>
    </row>
    <row r="16" spans="1:8" ht="15.75">
      <c r="A16" s="120" t="s">
        <v>207</v>
      </c>
      <c r="B16" s="121" t="s">
        <v>208</v>
      </c>
      <c r="C16" s="122" t="s">
        <v>209</v>
      </c>
      <c r="D16" s="105"/>
      <c r="E16" s="668" t="s">
        <v>207</v>
      </c>
      <c r="F16" s="669"/>
      <c r="G16" s="121" t="s">
        <v>208</v>
      </c>
      <c r="H16" s="122" t="s">
        <v>209</v>
      </c>
    </row>
    <row r="17" spans="1:8" ht="8.25" customHeight="1" thickBot="1">
      <c r="A17" s="123"/>
      <c r="B17" s="124"/>
      <c r="C17" s="125"/>
      <c r="D17" s="106"/>
      <c r="E17" s="123"/>
      <c r="F17" s="124"/>
      <c r="G17" s="110"/>
      <c r="H17" s="125"/>
    </row>
    <row r="18" spans="1:8" ht="30" customHeight="1">
      <c r="A18" s="126"/>
      <c r="B18" s="127"/>
      <c r="C18" s="128"/>
      <c r="D18" s="107"/>
      <c r="E18" s="714"/>
      <c r="F18" s="715"/>
      <c r="G18" s="111"/>
      <c r="H18" s="130"/>
    </row>
    <row r="19" spans="1:8" ht="30" customHeight="1">
      <c r="A19" s="175" t="s">
        <v>231</v>
      </c>
      <c r="B19" s="183">
        <f>'Receita Prefeitura'!I7</f>
        <v>42017000</v>
      </c>
      <c r="C19" s="184">
        <f>B19/B23</f>
        <v>0.736920567550029</v>
      </c>
      <c r="D19" s="117"/>
      <c r="E19" s="708" t="str">
        <f>"08.243"</f>
        <v>08.243</v>
      </c>
      <c r="G19" s="709">
        <v>1021000</v>
      </c>
      <c r="H19" s="706">
        <f>G19/B23</f>
        <v>0.01790694003542803</v>
      </c>
    </row>
    <row r="20" spans="1:8" ht="30" customHeight="1">
      <c r="A20" s="175"/>
      <c r="B20" s="183"/>
      <c r="C20" s="184"/>
      <c r="D20" s="117"/>
      <c r="E20" s="708"/>
      <c r="F20" s="500" t="s">
        <v>232</v>
      </c>
      <c r="G20" s="709"/>
      <c r="H20" s="706"/>
    </row>
    <row r="21" spans="1:8" ht="30" customHeight="1">
      <c r="A21" s="175" t="s">
        <v>233</v>
      </c>
      <c r="B21" s="183">
        <f>'Receita Prefeitura'!I416</f>
        <v>15000000</v>
      </c>
      <c r="C21" s="184">
        <f>B21/B23</f>
        <v>0.26307943244997106</v>
      </c>
      <c r="D21" s="117"/>
      <c r="E21" s="708"/>
      <c r="F21" s="500"/>
      <c r="G21" s="709"/>
      <c r="H21" s="706"/>
    </row>
    <row r="22" spans="1:8" ht="30" customHeight="1" thickBot="1">
      <c r="A22" s="185"/>
      <c r="B22" s="183"/>
      <c r="C22" s="184"/>
      <c r="D22" s="115"/>
      <c r="E22" s="712"/>
      <c r="F22" s="713"/>
      <c r="G22" s="183"/>
      <c r="H22" s="184"/>
    </row>
    <row r="23" spans="1:8" ht="30" customHeight="1" thickBot="1">
      <c r="A23" s="187" t="s">
        <v>245</v>
      </c>
      <c r="B23" s="188">
        <f>B19+B21</f>
        <v>57017000</v>
      </c>
      <c r="C23" s="189">
        <f>SUM(C19:C21)</f>
        <v>1</v>
      </c>
      <c r="D23" s="118"/>
      <c r="E23" s="710" t="s">
        <v>222</v>
      </c>
      <c r="F23" s="711"/>
      <c r="G23" s="188">
        <f>G19</f>
        <v>1021000</v>
      </c>
      <c r="H23" s="190">
        <f>H19</f>
        <v>0.01790694003542803</v>
      </c>
    </row>
    <row r="24" spans="1:8" ht="15.75">
      <c r="A24" s="116"/>
      <c r="B24" s="116"/>
      <c r="C24" s="116"/>
      <c r="D24" s="116"/>
      <c r="E24" s="116"/>
      <c r="F24" s="116"/>
      <c r="G24" s="116"/>
      <c r="H24" s="116"/>
    </row>
    <row r="25" spans="1:8" ht="15.75">
      <c r="A25" s="116"/>
      <c r="B25" s="116"/>
      <c r="C25" s="116"/>
      <c r="D25" s="116"/>
      <c r="E25" s="707" t="s">
        <v>650</v>
      </c>
      <c r="F25" s="707"/>
      <c r="G25" s="512">
        <f>B23*1%</f>
        <v>570170</v>
      </c>
      <c r="H25" s="116"/>
    </row>
  </sheetData>
  <sheetProtection/>
  <mergeCells count="22">
    <mergeCell ref="A1:H1"/>
    <mergeCell ref="A2:H2"/>
    <mergeCell ref="A3:H3"/>
    <mergeCell ref="A6:H6"/>
    <mergeCell ref="A4:H4"/>
    <mergeCell ref="A5:H5"/>
    <mergeCell ref="H19:H21"/>
    <mergeCell ref="E16:F16"/>
    <mergeCell ref="E25:F25"/>
    <mergeCell ref="E19:E21"/>
    <mergeCell ref="G19:G21"/>
    <mergeCell ref="E23:F23"/>
    <mergeCell ref="E22:F22"/>
    <mergeCell ref="E18:F18"/>
    <mergeCell ref="A7:H7"/>
    <mergeCell ref="A8:H8"/>
    <mergeCell ref="A9:H9"/>
    <mergeCell ref="A10:H10"/>
    <mergeCell ref="A13:C15"/>
    <mergeCell ref="E13:H15"/>
    <mergeCell ref="A11:C12"/>
    <mergeCell ref="E11:H12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Barbosa</dc:creator>
  <cp:keywords/>
  <dc:description/>
  <cp:lastModifiedBy>Jamay</cp:lastModifiedBy>
  <cp:lastPrinted>2011-09-30T19:01:33Z</cp:lastPrinted>
  <dcterms:created xsi:type="dcterms:W3CDTF">2004-08-30T19:16:24Z</dcterms:created>
  <dcterms:modified xsi:type="dcterms:W3CDTF">2011-09-30T19:04:06Z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ificado por">
    <vt:lpwstr>Daniel Barbosa e Gesiane</vt:lpwstr>
  </property>
  <property fmtid="{D5CDD505-2E9C-101B-9397-08002B2CF9AE}" pid="3" name="Digitador">
    <vt:lpwstr>Daniel Barbosa</vt:lpwstr>
  </property>
</Properties>
</file>